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0DE6EEA2-DF6C-4C8A-8C63-E60D547CEFCD}" xr6:coauthVersionLast="47" xr6:coauthVersionMax="47" xr10:uidLastSave="{00000000-0000-0000-0000-000000000000}"/>
  <bookViews>
    <workbookView xWindow="-120" yWindow="-120" windowWidth="29040" windowHeight="15840" xr2:uid="{AEF1FFDE-1A47-476E-B384-94E8B6E71DBF}"/>
  </bookViews>
  <sheets>
    <sheet name="Ejecución Fondo 100" sheetId="1" r:id="rId1"/>
    <sheet name="Ejecución Fondo 102" sheetId="2" r:id="rId2"/>
    <sheet name="Resumen Ejecución  2023" sheetId="3" r:id="rId3"/>
    <sheet name="Ejecución Consolidada  2023" sheetId="4" r:id="rId4"/>
  </sheets>
  <definedNames>
    <definedName name="_xlnm.Print_Area" localSheetId="2">'Resumen Ejecución  2023'!$A$1:$E$58</definedName>
    <definedName name="_xlnm.Print_Titles" localSheetId="3">'Ejecución Consolidada  2023'!$3:$6</definedName>
    <definedName name="_xlnm.Print_Titles" localSheetId="0">'Ejecución Fondo 100'!$6:$6</definedName>
    <definedName name="_xlnm.Print_Titles" localSheetId="1">'Ejecución Fondo 102'!$6:$6</definedName>
    <definedName name="Z_33A3B080_5726_41AE_B952_9FD103920F8B_.wvu.FilterData" localSheetId="1" hidden="1">'Ejecución Fondo 102'!$A$3:$S$126</definedName>
    <definedName name="Z_4E190630_B473_4ADD_9A3F_BA2F88354870_.wvu.FilterData" localSheetId="0" hidden="1">'Ejecución Fondo 100'!$A$3:$S$145</definedName>
    <definedName name="Z_4E190630_B473_4ADD_9A3F_BA2F88354870_.wvu.FilterData" localSheetId="1" hidden="1">'Ejecución Fondo 102'!$A$3:$S$126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2" l="1"/>
  <c r="C38" i="2"/>
  <c r="D38" i="2"/>
  <c r="C43" i="2"/>
  <c r="D43" i="2"/>
  <c r="C48" i="2"/>
  <c r="C57" i="2"/>
  <c r="D57" i="2"/>
  <c r="D91" i="2"/>
  <c r="R119" i="2"/>
  <c r="E119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D118" i="2"/>
  <c r="D54" i="1"/>
  <c r="C54" i="1"/>
  <c r="E55" i="1"/>
  <c r="M91" i="2"/>
  <c r="M123" i="1"/>
  <c r="M92" i="1"/>
  <c r="L86" i="1"/>
  <c r="M86" i="1"/>
  <c r="K86" i="1"/>
  <c r="M54" i="1"/>
  <c r="R55" i="1"/>
  <c r="S55" i="1" s="1"/>
  <c r="F54" i="1"/>
  <c r="G54" i="1"/>
  <c r="H54" i="1"/>
  <c r="I54" i="1"/>
  <c r="J54" i="1"/>
  <c r="K54" i="1"/>
  <c r="L54" i="1"/>
  <c r="N54" i="1"/>
  <c r="O54" i="1"/>
  <c r="P54" i="1"/>
  <c r="Q54" i="1"/>
  <c r="R50" i="2"/>
  <c r="R49" i="2"/>
  <c r="L68" i="1"/>
  <c r="R118" i="2" l="1"/>
  <c r="S119" i="2"/>
  <c r="E118" i="2"/>
  <c r="R48" i="2"/>
  <c r="L38" i="1"/>
  <c r="K123" i="1"/>
  <c r="S118" i="2" l="1"/>
  <c r="B107" i="3"/>
  <c r="D107" i="3" s="1"/>
  <c r="E12" i="2"/>
  <c r="D8" i="2"/>
  <c r="R12" i="2"/>
  <c r="K31" i="1"/>
  <c r="K35" i="1"/>
  <c r="K40" i="1"/>
  <c r="K38" i="1"/>
  <c r="K92" i="1"/>
  <c r="K110" i="1"/>
  <c r="G104" i="2"/>
  <c r="H104" i="2"/>
  <c r="I104" i="2"/>
  <c r="J104" i="2"/>
  <c r="K104" i="2"/>
  <c r="L104" i="2"/>
  <c r="M104" i="2"/>
  <c r="N104" i="2"/>
  <c r="O104" i="2"/>
  <c r="P104" i="2"/>
  <c r="Q104" i="2"/>
  <c r="F104" i="2"/>
  <c r="G100" i="2"/>
  <c r="G99" i="2" s="1"/>
  <c r="H100" i="2"/>
  <c r="I100" i="2"/>
  <c r="I99" i="2" s="1"/>
  <c r="J100" i="2"/>
  <c r="J99" i="2" s="1"/>
  <c r="K100" i="2"/>
  <c r="L100" i="2"/>
  <c r="M100" i="2"/>
  <c r="N100" i="2"/>
  <c r="O100" i="2"/>
  <c r="P100" i="2"/>
  <c r="Q100" i="2"/>
  <c r="F100" i="2"/>
  <c r="D104" i="2"/>
  <c r="C100" i="2"/>
  <c r="D100" i="2"/>
  <c r="R127" i="1"/>
  <c r="E127" i="1"/>
  <c r="J92" i="1"/>
  <c r="J82" i="1"/>
  <c r="R76" i="1"/>
  <c r="J75" i="1"/>
  <c r="K45" i="1"/>
  <c r="L45" i="1"/>
  <c r="M45" i="1"/>
  <c r="N45" i="1"/>
  <c r="O45" i="1"/>
  <c r="P45" i="1"/>
  <c r="Q45" i="1"/>
  <c r="J45" i="1"/>
  <c r="J68" i="1"/>
  <c r="J86" i="1"/>
  <c r="J123" i="1"/>
  <c r="F99" i="2" l="1"/>
  <c r="K99" i="2"/>
  <c r="L99" i="2"/>
  <c r="S12" i="2"/>
  <c r="S127" i="1"/>
  <c r="R47" i="1"/>
  <c r="R50" i="1"/>
  <c r="R60" i="1"/>
  <c r="D123" i="1"/>
  <c r="E60" i="1"/>
  <c r="S60" i="1" s="1"/>
  <c r="E50" i="1"/>
  <c r="E47" i="1"/>
  <c r="S47" i="1" s="1"/>
  <c r="E46" i="1"/>
  <c r="R59" i="2"/>
  <c r="R60" i="2"/>
  <c r="E60" i="2"/>
  <c r="S60" i="2" s="1"/>
  <c r="F84" i="2"/>
  <c r="Q84" i="2"/>
  <c r="P84" i="2"/>
  <c r="O84" i="2"/>
  <c r="N84" i="2"/>
  <c r="M84" i="2"/>
  <c r="L84" i="2"/>
  <c r="K84" i="2"/>
  <c r="J84" i="2"/>
  <c r="I84" i="2"/>
  <c r="H84" i="2"/>
  <c r="G84" i="2"/>
  <c r="E107" i="2"/>
  <c r="E97" i="2"/>
  <c r="E94" i="2"/>
  <c r="E95" i="2"/>
  <c r="E96" i="2"/>
  <c r="R85" i="2"/>
  <c r="R84" i="2" s="1"/>
  <c r="C99" i="3" s="1"/>
  <c r="E85" i="2"/>
  <c r="D84" i="2"/>
  <c r="E84" i="2" s="1"/>
  <c r="B99" i="3" s="1"/>
  <c r="J17" i="2"/>
  <c r="J8" i="2"/>
  <c r="J27" i="2"/>
  <c r="J43" i="2"/>
  <c r="J38" i="2"/>
  <c r="J8" i="1"/>
  <c r="J38" i="1"/>
  <c r="J31" i="1"/>
  <c r="R46" i="1"/>
  <c r="R31" i="2"/>
  <c r="R36" i="2"/>
  <c r="R39" i="2"/>
  <c r="R42" i="2"/>
  <c r="R41" i="2"/>
  <c r="R40" i="2"/>
  <c r="I38" i="2"/>
  <c r="R96" i="1"/>
  <c r="S96" i="1" s="1"/>
  <c r="I92" i="1"/>
  <c r="H92" i="1"/>
  <c r="I75" i="1"/>
  <c r="I35" i="1"/>
  <c r="I38" i="1"/>
  <c r="I8" i="1"/>
  <c r="D40" i="1"/>
  <c r="D38" i="1"/>
  <c r="H114" i="2"/>
  <c r="H99" i="2" s="1"/>
  <c r="R63" i="2"/>
  <c r="R19" i="2"/>
  <c r="R18" i="2"/>
  <c r="E68" i="2"/>
  <c r="B93" i="3" s="1"/>
  <c r="E63" i="2"/>
  <c r="E54" i="2"/>
  <c r="C17" i="2"/>
  <c r="E19" i="2"/>
  <c r="H40" i="1"/>
  <c r="H35" i="1"/>
  <c r="H45" i="1"/>
  <c r="R135" i="1"/>
  <c r="R134" i="1"/>
  <c r="C46" i="3" s="1"/>
  <c r="C41" i="4" s="1"/>
  <c r="R122" i="1"/>
  <c r="R121" i="1" s="1"/>
  <c r="C43" i="3" s="1"/>
  <c r="C123" i="1"/>
  <c r="D134" i="1"/>
  <c r="D132" i="1"/>
  <c r="D121" i="1"/>
  <c r="D118" i="1"/>
  <c r="D115" i="1"/>
  <c r="D110" i="1"/>
  <c r="E135" i="1"/>
  <c r="E133" i="1"/>
  <c r="E132" i="1" s="1"/>
  <c r="B45" i="3" s="1"/>
  <c r="B40" i="4" s="1"/>
  <c r="E130" i="1"/>
  <c r="I118" i="1"/>
  <c r="J118" i="1"/>
  <c r="K118" i="1"/>
  <c r="L118" i="1"/>
  <c r="M118" i="1"/>
  <c r="N118" i="1"/>
  <c r="O118" i="1"/>
  <c r="P118" i="1"/>
  <c r="Q118" i="1"/>
  <c r="F118" i="1"/>
  <c r="G118" i="1"/>
  <c r="H118" i="1"/>
  <c r="C118" i="1"/>
  <c r="R120" i="1"/>
  <c r="E120" i="1"/>
  <c r="D68" i="1"/>
  <c r="E70" i="1"/>
  <c r="E42" i="1"/>
  <c r="E43" i="1"/>
  <c r="E44" i="1"/>
  <c r="H38" i="1"/>
  <c r="G38" i="1"/>
  <c r="F38" i="1"/>
  <c r="R39" i="1"/>
  <c r="R38" i="1" s="1"/>
  <c r="E39" i="1"/>
  <c r="E38" i="1" s="1"/>
  <c r="B24" i="3" s="1"/>
  <c r="G26" i="1"/>
  <c r="F26" i="1"/>
  <c r="G40" i="1"/>
  <c r="I40" i="1"/>
  <c r="J40" i="1"/>
  <c r="L40" i="1"/>
  <c r="M40" i="1"/>
  <c r="M38" i="1" s="1"/>
  <c r="N40" i="1"/>
  <c r="N38" i="1" s="1"/>
  <c r="O40" i="1"/>
  <c r="O38" i="1" s="1"/>
  <c r="P40" i="1"/>
  <c r="P38" i="1" s="1"/>
  <c r="Q40" i="1"/>
  <c r="Q38" i="1" s="1"/>
  <c r="F40" i="1"/>
  <c r="C40" i="1"/>
  <c r="I71" i="1"/>
  <c r="J71" i="1"/>
  <c r="K71" i="1"/>
  <c r="L71" i="1"/>
  <c r="M71" i="1"/>
  <c r="N71" i="1"/>
  <c r="O71" i="1"/>
  <c r="P71" i="1"/>
  <c r="Q71" i="1"/>
  <c r="H71" i="1"/>
  <c r="C75" i="1"/>
  <c r="H75" i="1"/>
  <c r="G92" i="1"/>
  <c r="F92" i="1"/>
  <c r="D92" i="1"/>
  <c r="C92" i="1"/>
  <c r="R124" i="1"/>
  <c r="R125" i="1"/>
  <c r="R126" i="1"/>
  <c r="H123" i="1"/>
  <c r="F123" i="1"/>
  <c r="G123" i="1"/>
  <c r="I123" i="1"/>
  <c r="L123" i="1"/>
  <c r="N123" i="1"/>
  <c r="O123" i="1"/>
  <c r="P123" i="1"/>
  <c r="Q123" i="1"/>
  <c r="R130" i="1"/>
  <c r="E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R42" i="1"/>
  <c r="R43" i="1"/>
  <c r="R44" i="1"/>
  <c r="H8" i="1"/>
  <c r="D99" i="3" l="1"/>
  <c r="S120" i="1"/>
  <c r="S50" i="1"/>
  <c r="S85" i="2"/>
  <c r="S84" i="2" s="1"/>
  <c r="S122" i="1"/>
  <c r="S121" i="1" s="1"/>
  <c r="S135" i="1"/>
  <c r="C24" i="3"/>
  <c r="E134" i="1"/>
  <c r="S134" i="1" s="1"/>
  <c r="S46" i="1"/>
  <c r="S19" i="2"/>
  <c r="S63" i="2"/>
  <c r="S39" i="1"/>
  <c r="S38" i="1" s="1"/>
  <c r="S130" i="1"/>
  <c r="S42" i="1"/>
  <c r="S44" i="1"/>
  <c r="S43" i="1"/>
  <c r="E121" i="1"/>
  <c r="B43" i="3" s="1"/>
  <c r="D43" i="3" s="1"/>
  <c r="E111" i="1"/>
  <c r="E125" i="1"/>
  <c r="S125" i="1" s="1"/>
  <c r="B46" i="3" l="1"/>
  <c r="B41" i="4" s="1"/>
  <c r="D41" i="4" s="1"/>
  <c r="R112" i="1"/>
  <c r="S112" i="1" s="1"/>
  <c r="R18" i="1"/>
  <c r="R17" i="1"/>
  <c r="C17" i="3" s="1"/>
  <c r="R16" i="1"/>
  <c r="R14" i="1"/>
  <c r="R13" i="1"/>
  <c r="R12" i="1"/>
  <c r="C16" i="3" s="1"/>
  <c r="R11" i="1"/>
  <c r="R10" i="1"/>
  <c r="R9" i="1"/>
  <c r="F21" i="1"/>
  <c r="F19" i="1"/>
  <c r="F15" i="1"/>
  <c r="F8" i="1"/>
  <c r="G66" i="2"/>
  <c r="H66" i="2"/>
  <c r="I66" i="2"/>
  <c r="J66" i="2"/>
  <c r="K66" i="2"/>
  <c r="L66" i="2"/>
  <c r="M66" i="2"/>
  <c r="N66" i="2"/>
  <c r="O66" i="2"/>
  <c r="P66" i="2"/>
  <c r="E59" i="2"/>
  <c r="S59" i="2" s="1"/>
  <c r="R114" i="1"/>
  <c r="C41" i="3"/>
  <c r="R89" i="1"/>
  <c r="D46" i="3" l="1"/>
  <c r="R8" i="1"/>
  <c r="F7" i="1"/>
  <c r="C15" i="3"/>
  <c r="F48" i="2" l="1"/>
  <c r="G48" i="2"/>
  <c r="H48" i="2"/>
  <c r="I48" i="2"/>
  <c r="J48" i="2"/>
  <c r="K48" i="2"/>
  <c r="L48" i="2"/>
  <c r="M48" i="2"/>
  <c r="N48" i="2"/>
  <c r="O48" i="2"/>
  <c r="P48" i="2"/>
  <c r="Q48" i="2"/>
  <c r="D48" i="2"/>
  <c r="F43" i="2"/>
  <c r="G43" i="2"/>
  <c r="H43" i="2"/>
  <c r="I43" i="2"/>
  <c r="K43" i="2"/>
  <c r="L43" i="2"/>
  <c r="M43" i="2"/>
  <c r="N43" i="2"/>
  <c r="O43" i="2"/>
  <c r="P43" i="2"/>
  <c r="Q43" i="2"/>
  <c r="E39" i="2"/>
  <c r="R33" i="1"/>
  <c r="C136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3" i="1"/>
  <c r="S133" i="1" s="1"/>
  <c r="E126" i="1"/>
  <c r="E128" i="1"/>
  <c r="E129" i="1"/>
  <c r="E131" i="1"/>
  <c r="E124" i="1"/>
  <c r="E123" i="1" s="1"/>
  <c r="E114" i="1"/>
  <c r="S114" i="1" s="1"/>
  <c r="C110" i="1"/>
  <c r="C115" i="1"/>
  <c r="E90" i="1"/>
  <c r="E91" i="1"/>
  <c r="E89" i="1"/>
  <c r="S89" i="1" s="1"/>
  <c r="D82" i="1"/>
  <c r="C82" i="1"/>
  <c r="C71" i="1"/>
  <c r="C68" i="1"/>
  <c r="D31" i="1"/>
  <c r="C31" i="1"/>
  <c r="E33" i="1"/>
  <c r="S39" i="2" l="1"/>
  <c r="C109" i="1"/>
  <c r="S126" i="1"/>
  <c r="S124" i="1"/>
  <c r="R132" i="1"/>
  <c r="S132" i="1" s="1"/>
  <c r="S33" i="1"/>
  <c r="A48" i="4"/>
  <c r="A47" i="4"/>
  <c r="A46" i="4"/>
  <c r="A45" i="4"/>
  <c r="C37" i="3"/>
  <c r="B122" i="2"/>
  <c r="B121" i="2"/>
  <c r="R117" i="2"/>
  <c r="R116" i="2" s="1"/>
  <c r="E117" i="2"/>
  <c r="E116" i="2" s="1"/>
  <c r="B106" i="3" s="1"/>
  <c r="D106" i="3" s="1"/>
  <c r="Q116" i="2"/>
  <c r="P116" i="2"/>
  <c r="O116" i="2"/>
  <c r="N116" i="2"/>
  <c r="M116" i="2"/>
  <c r="D116" i="2"/>
  <c r="R115" i="2"/>
  <c r="E115" i="2"/>
  <c r="Q114" i="2"/>
  <c r="Q99" i="2" s="1"/>
  <c r="P114" i="2"/>
  <c r="P99" i="2" s="1"/>
  <c r="O114" i="2"/>
  <c r="N114" i="2"/>
  <c r="N99" i="2" s="1"/>
  <c r="M114" i="2"/>
  <c r="D114" i="2"/>
  <c r="R113" i="2"/>
  <c r="E113" i="2"/>
  <c r="R112" i="2"/>
  <c r="F112" i="2"/>
  <c r="D112" i="2"/>
  <c r="C112" i="2"/>
  <c r="R111" i="2"/>
  <c r="E111" i="2"/>
  <c r="R110" i="2"/>
  <c r="E110" i="2"/>
  <c r="Q109" i="2"/>
  <c r="P109" i="2"/>
  <c r="O109" i="2"/>
  <c r="F109" i="2"/>
  <c r="D109" i="2"/>
  <c r="C109" i="2"/>
  <c r="R108" i="2"/>
  <c r="E108" i="2"/>
  <c r="R107" i="2"/>
  <c r="Q106" i="2"/>
  <c r="P106" i="2"/>
  <c r="O106" i="2"/>
  <c r="F106" i="2"/>
  <c r="D106" i="2"/>
  <c r="C106" i="2"/>
  <c r="R105" i="2"/>
  <c r="R104" i="2" s="1"/>
  <c r="C104" i="3" s="1"/>
  <c r="C36" i="4" s="1"/>
  <c r="E105" i="2"/>
  <c r="R103" i="2"/>
  <c r="E103" i="2"/>
  <c r="R102" i="2"/>
  <c r="E102" i="2"/>
  <c r="R101" i="2"/>
  <c r="E101" i="2"/>
  <c r="N124" i="2"/>
  <c r="L124" i="2"/>
  <c r="K124" i="2"/>
  <c r="J124" i="2"/>
  <c r="I124" i="2"/>
  <c r="H124" i="2"/>
  <c r="G124" i="2"/>
  <c r="R98" i="2"/>
  <c r="R97" i="2"/>
  <c r="R96" i="2"/>
  <c r="R95" i="2"/>
  <c r="R94" i="2"/>
  <c r="R93" i="2"/>
  <c r="E93" i="2"/>
  <c r="R92" i="2"/>
  <c r="E92" i="2"/>
  <c r="E91" i="2" s="1"/>
  <c r="Q91" i="2"/>
  <c r="P91" i="2"/>
  <c r="O91" i="2"/>
  <c r="N91" i="2"/>
  <c r="L91" i="2"/>
  <c r="K91" i="2"/>
  <c r="J91" i="2"/>
  <c r="I91" i="2"/>
  <c r="H91" i="2"/>
  <c r="G91" i="2"/>
  <c r="F91" i="2"/>
  <c r="C91" i="2"/>
  <c r="R90" i="2"/>
  <c r="E90" i="2"/>
  <c r="R89" i="2"/>
  <c r="E89" i="2"/>
  <c r="R88" i="2"/>
  <c r="E88" i="2"/>
  <c r="R87" i="2"/>
  <c r="E87" i="2"/>
  <c r="Q86" i="2"/>
  <c r="P86" i="2"/>
  <c r="O86" i="2"/>
  <c r="N86" i="2"/>
  <c r="M86" i="2"/>
  <c r="L86" i="2"/>
  <c r="K86" i="2"/>
  <c r="J86" i="2"/>
  <c r="I86" i="2"/>
  <c r="H86" i="2"/>
  <c r="G86" i="2"/>
  <c r="F86" i="2"/>
  <c r="D86" i="2"/>
  <c r="C86" i="2"/>
  <c r="R83" i="2"/>
  <c r="R82" i="2" s="1"/>
  <c r="C98" i="3" s="1"/>
  <c r="E83" i="2"/>
  <c r="E82" i="2" s="1"/>
  <c r="B98" i="3" s="1"/>
  <c r="Q82" i="2"/>
  <c r="P82" i="2"/>
  <c r="O82" i="2"/>
  <c r="N82" i="2"/>
  <c r="M82" i="2"/>
  <c r="L82" i="2"/>
  <c r="K82" i="2"/>
  <c r="J82" i="2"/>
  <c r="I82" i="2"/>
  <c r="H82" i="2"/>
  <c r="G82" i="2"/>
  <c r="F82" i="2"/>
  <c r="D82" i="2"/>
  <c r="C82" i="2"/>
  <c r="R81" i="2"/>
  <c r="E81" i="2"/>
  <c r="R80" i="2"/>
  <c r="E80" i="2"/>
  <c r="R79" i="2"/>
  <c r="E79" i="2"/>
  <c r="Q78" i="2"/>
  <c r="P78" i="2"/>
  <c r="O78" i="2"/>
  <c r="N78" i="2"/>
  <c r="M78" i="2"/>
  <c r="L78" i="2"/>
  <c r="K78" i="2"/>
  <c r="J78" i="2"/>
  <c r="I78" i="2"/>
  <c r="H78" i="2"/>
  <c r="G78" i="2"/>
  <c r="F78" i="2"/>
  <c r="D78" i="2"/>
  <c r="C78" i="2"/>
  <c r="R77" i="2"/>
  <c r="S77" i="2" s="1"/>
  <c r="R76" i="2"/>
  <c r="R75" i="2"/>
  <c r="S75" i="2" s="1"/>
  <c r="Q74" i="2"/>
  <c r="P74" i="2"/>
  <c r="O74" i="2"/>
  <c r="N74" i="2"/>
  <c r="N69" i="2" s="1"/>
  <c r="M74" i="2"/>
  <c r="L74" i="2"/>
  <c r="K74" i="2"/>
  <c r="J74" i="2"/>
  <c r="I74" i="2"/>
  <c r="H74" i="2"/>
  <c r="G74" i="2"/>
  <c r="F74" i="2"/>
  <c r="D74" i="2"/>
  <c r="C74" i="2"/>
  <c r="R73" i="2"/>
  <c r="E73" i="2"/>
  <c r="R72" i="2"/>
  <c r="E72" i="2"/>
  <c r="R71" i="2"/>
  <c r="E71" i="2"/>
  <c r="Q70" i="2"/>
  <c r="P70" i="2"/>
  <c r="O70" i="2"/>
  <c r="N70" i="2"/>
  <c r="M70" i="2"/>
  <c r="L70" i="2"/>
  <c r="K70" i="2"/>
  <c r="J70" i="2"/>
  <c r="I70" i="2"/>
  <c r="H70" i="2"/>
  <c r="G70" i="2"/>
  <c r="F70" i="2"/>
  <c r="D70" i="2"/>
  <c r="C70" i="2"/>
  <c r="R68" i="2"/>
  <c r="R67" i="2"/>
  <c r="Q66" i="2"/>
  <c r="F66" i="2"/>
  <c r="D66" i="2"/>
  <c r="C66" i="2"/>
  <c r="R65" i="2"/>
  <c r="E65" i="2"/>
  <c r="R64" i="2"/>
  <c r="E64" i="2"/>
  <c r="R62" i="2"/>
  <c r="E62" i="2"/>
  <c r="R61" i="2"/>
  <c r="E61" i="2"/>
  <c r="R58" i="2"/>
  <c r="E58" i="2"/>
  <c r="Q57" i="2"/>
  <c r="P57" i="2"/>
  <c r="O57" i="2"/>
  <c r="N57" i="2"/>
  <c r="M57" i="2"/>
  <c r="L57" i="2"/>
  <c r="K57" i="2"/>
  <c r="J57" i="2"/>
  <c r="I57" i="2"/>
  <c r="H57" i="2"/>
  <c r="G57" i="2"/>
  <c r="F57" i="2"/>
  <c r="R56" i="2"/>
  <c r="R55" i="2"/>
  <c r="E55" i="2"/>
  <c r="R54" i="2"/>
  <c r="R53" i="2"/>
  <c r="R52" i="2"/>
  <c r="S52" i="2" s="1"/>
  <c r="Q51" i="2"/>
  <c r="P51" i="2"/>
  <c r="O51" i="2"/>
  <c r="N51" i="2"/>
  <c r="M51" i="2"/>
  <c r="L51" i="2"/>
  <c r="K51" i="2"/>
  <c r="J51" i="2"/>
  <c r="I51" i="2"/>
  <c r="H51" i="2"/>
  <c r="G51" i="2"/>
  <c r="F51" i="2"/>
  <c r="D51" i="2"/>
  <c r="C51" i="2"/>
  <c r="E50" i="2"/>
  <c r="E49" i="2"/>
  <c r="R47" i="2"/>
  <c r="E47" i="2"/>
  <c r="R46" i="2"/>
  <c r="E46" i="2"/>
  <c r="R45" i="2"/>
  <c r="E45" i="2"/>
  <c r="R44" i="2"/>
  <c r="E44" i="2"/>
  <c r="E42" i="2"/>
  <c r="E41" i="2"/>
  <c r="E40" i="2"/>
  <c r="E38" i="2" s="1"/>
  <c r="Q38" i="2"/>
  <c r="P38" i="2"/>
  <c r="O38" i="2"/>
  <c r="N38" i="2"/>
  <c r="M38" i="2"/>
  <c r="L38" i="2"/>
  <c r="K38" i="2"/>
  <c r="H38" i="2"/>
  <c r="G38" i="2"/>
  <c r="F38" i="2"/>
  <c r="R37" i="2"/>
  <c r="E37" i="2"/>
  <c r="E36" i="2"/>
  <c r="Q35" i="2"/>
  <c r="P35" i="2"/>
  <c r="O35" i="2"/>
  <c r="N35" i="2"/>
  <c r="M35" i="2"/>
  <c r="L35" i="2"/>
  <c r="K35" i="2"/>
  <c r="J35" i="2"/>
  <c r="I35" i="2"/>
  <c r="H35" i="2"/>
  <c r="G35" i="2"/>
  <c r="F35" i="2"/>
  <c r="D35" i="2"/>
  <c r="C35" i="2"/>
  <c r="R34" i="2"/>
  <c r="E34" i="2"/>
  <c r="R33" i="2"/>
  <c r="E33" i="2"/>
  <c r="Q32" i="2"/>
  <c r="P32" i="2"/>
  <c r="O32" i="2"/>
  <c r="N32" i="2"/>
  <c r="M32" i="2"/>
  <c r="L32" i="2"/>
  <c r="K32" i="2"/>
  <c r="J32" i="2"/>
  <c r="I32" i="2"/>
  <c r="H32" i="2"/>
  <c r="G32" i="2"/>
  <c r="F32" i="2"/>
  <c r="D32" i="2"/>
  <c r="C32" i="2"/>
  <c r="E31" i="2"/>
  <c r="R30" i="2"/>
  <c r="E30" i="2"/>
  <c r="R29" i="2"/>
  <c r="E29" i="2"/>
  <c r="R28" i="2"/>
  <c r="E28" i="2"/>
  <c r="Q27" i="2"/>
  <c r="P27" i="2"/>
  <c r="O27" i="2"/>
  <c r="N27" i="2"/>
  <c r="M27" i="2"/>
  <c r="L27" i="2"/>
  <c r="K27" i="2"/>
  <c r="I27" i="2"/>
  <c r="H27" i="2"/>
  <c r="G27" i="2"/>
  <c r="F27" i="2"/>
  <c r="D27" i="2"/>
  <c r="D26" i="2" s="1"/>
  <c r="C27" i="2"/>
  <c r="K22" i="2"/>
  <c r="E25" i="2"/>
  <c r="R24" i="2"/>
  <c r="E24" i="2"/>
  <c r="R23" i="2"/>
  <c r="D22" i="2"/>
  <c r="Q22" i="2"/>
  <c r="P22" i="2"/>
  <c r="O22" i="2"/>
  <c r="N22" i="2"/>
  <c r="M22" i="2"/>
  <c r="L22" i="2"/>
  <c r="J22" i="2"/>
  <c r="I22" i="2"/>
  <c r="H22" i="2"/>
  <c r="G22" i="2"/>
  <c r="F22" i="2"/>
  <c r="C22" i="2"/>
  <c r="R21" i="2"/>
  <c r="E21" i="2"/>
  <c r="R20" i="2"/>
  <c r="E20" i="2"/>
  <c r="E18" i="2"/>
  <c r="Q17" i="2"/>
  <c r="P17" i="2"/>
  <c r="O17" i="2"/>
  <c r="N17" i="2"/>
  <c r="M17" i="2"/>
  <c r="L17" i="2"/>
  <c r="K17" i="2"/>
  <c r="I17" i="2"/>
  <c r="H17" i="2"/>
  <c r="G17" i="2"/>
  <c r="F17" i="2"/>
  <c r="D17" i="2"/>
  <c r="D7" i="2" s="1"/>
  <c r="R16" i="2"/>
  <c r="E16" i="2"/>
  <c r="R15" i="2"/>
  <c r="E15" i="2"/>
  <c r="R14" i="2"/>
  <c r="C82" i="3" s="1"/>
  <c r="E14" i="2"/>
  <c r="B82" i="3" s="1"/>
  <c r="R13" i="2"/>
  <c r="E13" i="2"/>
  <c r="R11" i="2"/>
  <c r="E11" i="2"/>
  <c r="R10" i="2"/>
  <c r="E10" i="2"/>
  <c r="R9" i="2"/>
  <c r="E9" i="2"/>
  <c r="Q8" i="2"/>
  <c r="P8" i="2"/>
  <c r="O8" i="2"/>
  <c r="N8" i="2"/>
  <c r="M8" i="2"/>
  <c r="L8" i="2"/>
  <c r="K8" i="2"/>
  <c r="I8" i="2"/>
  <c r="H8" i="2"/>
  <c r="G8" i="2"/>
  <c r="F8" i="2"/>
  <c r="C8" i="2"/>
  <c r="D142" i="1"/>
  <c r="B140" i="1"/>
  <c r="B139" i="1"/>
  <c r="R137" i="1"/>
  <c r="E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D109" i="1" s="1"/>
  <c r="R131" i="1"/>
  <c r="R129" i="1"/>
  <c r="R128" i="1"/>
  <c r="R119" i="1"/>
  <c r="E119" i="1"/>
  <c r="R117" i="1"/>
  <c r="E117" i="1"/>
  <c r="R116" i="1"/>
  <c r="E116" i="1"/>
  <c r="R113" i="1"/>
  <c r="E113" i="1"/>
  <c r="R111" i="1"/>
  <c r="S111" i="1" s="1"/>
  <c r="Q110" i="1"/>
  <c r="Q109" i="1" s="1"/>
  <c r="P110" i="1"/>
  <c r="O110" i="1"/>
  <c r="N110" i="1"/>
  <c r="M110" i="1"/>
  <c r="M109" i="1" s="1"/>
  <c r="L110" i="1"/>
  <c r="J110" i="1"/>
  <c r="J109" i="1" s="1"/>
  <c r="I110" i="1"/>
  <c r="H110" i="1"/>
  <c r="G110" i="1"/>
  <c r="F110" i="1"/>
  <c r="E108" i="1"/>
  <c r="D107" i="1"/>
  <c r="D106" i="1" s="1"/>
  <c r="C106" i="1"/>
  <c r="R105" i="1"/>
  <c r="E105" i="1"/>
  <c r="R104" i="1"/>
  <c r="E104" i="1"/>
  <c r="R103" i="1"/>
  <c r="E103" i="1"/>
  <c r="R102" i="1"/>
  <c r="E102" i="1"/>
  <c r="R101" i="1"/>
  <c r="E101" i="1"/>
  <c r="R100" i="1"/>
  <c r="E100" i="1"/>
  <c r="R99" i="1"/>
  <c r="E99" i="1"/>
  <c r="R98" i="1"/>
  <c r="R97" i="1"/>
  <c r="E97" i="1"/>
  <c r="R95" i="1"/>
  <c r="E95" i="1"/>
  <c r="R94" i="1"/>
  <c r="E94" i="1"/>
  <c r="R93" i="1"/>
  <c r="E93" i="1"/>
  <c r="Q92" i="1"/>
  <c r="P92" i="1"/>
  <c r="O92" i="1"/>
  <c r="N92" i="1"/>
  <c r="L92" i="1"/>
  <c r="R91" i="1"/>
  <c r="R90" i="1"/>
  <c r="R88" i="1"/>
  <c r="E88" i="1"/>
  <c r="R87" i="1"/>
  <c r="E87" i="1"/>
  <c r="Q86" i="1"/>
  <c r="P86" i="1"/>
  <c r="O86" i="1"/>
  <c r="N86" i="1"/>
  <c r="I86" i="1"/>
  <c r="H86" i="1"/>
  <c r="G86" i="1"/>
  <c r="F86" i="1"/>
  <c r="D86" i="1"/>
  <c r="C86" i="1"/>
  <c r="R85" i="1"/>
  <c r="E85" i="1"/>
  <c r="R84" i="1"/>
  <c r="E84" i="1"/>
  <c r="R83" i="1"/>
  <c r="E83" i="1"/>
  <c r="Q82" i="1"/>
  <c r="P82" i="1"/>
  <c r="O82" i="1"/>
  <c r="N82" i="1"/>
  <c r="M82" i="1"/>
  <c r="L82" i="1"/>
  <c r="K82" i="1"/>
  <c r="I82" i="1"/>
  <c r="H82" i="1"/>
  <c r="G82" i="1"/>
  <c r="F82" i="1"/>
  <c r="R81" i="1"/>
  <c r="E81" i="1"/>
  <c r="Q80" i="1"/>
  <c r="P80" i="1"/>
  <c r="O80" i="1"/>
  <c r="N80" i="1"/>
  <c r="M80" i="1"/>
  <c r="L80" i="1"/>
  <c r="K80" i="1"/>
  <c r="J80" i="1"/>
  <c r="J67" i="1" s="1"/>
  <c r="I80" i="1"/>
  <c r="H80" i="1"/>
  <c r="G80" i="1"/>
  <c r="F80" i="1"/>
  <c r="D80" i="1"/>
  <c r="C80" i="1"/>
  <c r="R79" i="1"/>
  <c r="E79" i="1"/>
  <c r="R78" i="1"/>
  <c r="E78" i="1"/>
  <c r="R77" i="1"/>
  <c r="E77" i="1"/>
  <c r="E76" i="1"/>
  <c r="S76" i="1" s="1"/>
  <c r="Q75" i="1"/>
  <c r="P75" i="1"/>
  <c r="O75" i="1"/>
  <c r="N75" i="1"/>
  <c r="M75" i="1"/>
  <c r="L75" i="1"/>
  <c r="K75" i="1"/>
  <c r="G75" i="1"/>
  <c r="F75" i="1"/>
  <c r="D75" i="1"/>
  <c r="R74" i="1"/>
  <c r="E74" i="1"/>
  <c r="R73" i="1"/>
  <c r="E73" i="1"/>
  <c r="R72" i="1"/>
  <c r="E72" i="1"/>
  <c r="G71" i="1"/>
  <c r="F71" i="1"/>
  <c r="D71" i="1"/>
  <c r="R70" i="1"/>
  <c r="S70" i="1" s="1"/>
  <c r="R69" i="1"/>
  <c r="E69" i="1"/>
  <c r="Q68" i="1"/>
  <c r="P68" i="1"/>
  <c r="O68" i="1"/>
  <c r="N68" i="1"/>
  <c r="M68" i="1"/>
  <c r="K68" i="1"/>
  <c r="I68" i="1"/>
  <c r="H68" i="1"/>
  <c r="G68" i="1"/>
  <c r="F68" i="1"/>
  <c r="R66" i="1"/>
  <c r="E66" i="1"/>
  <c r="R65" i="1"/>
  <c r="E65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R63" i="1"/>
  <c r="E63" i="1"/>
  <c r="R62" i="1"/>
  <c r="E62" i="1"/>
  <c r="R61" i="1"/>
  <c r="E61" i="1"/>
  <c r="R59" i="1"/>
  <c r="E59" i="1"/>
  <c r="R58" i="1"/>
  <c r="E58" i="1"/>
  <c r="R57" i="1"/>
  <c r="E57" i="1"/>
  <c r="R56" i="1"/>
  <c r="E56" i="1"/>
  <c r="R53" i="1"/>
  <c r="E53" i="1"/>
  <c r="R52" i="1"/>
  <c r="E52" i="1"/>
  <c r="R51" i="1"/>
  <c r="E51" i="1"/>
  <c r="R49" i="1"/>
  <c r="E49" i="1"/>
  <c r="I45" i="1"/>
  <c r="G45" i="1"/>
  <c r="F45" i="1"/>
  <c r="D45" i="1"/>
  <c r="C45" i="1"/>
  <c r="R41" i="1"/>
  <c r="R40" i="1" s="1"/>
  <c r="E41" i="1"/>
  <c r="R37" i="1"/>
  <c r="E37" i="1"/>
  <c r="R36" i="1"/>
  <c r="E36" i="1"/>
  <c r="Q35" i="1"/>
  <c r="P35" i="1"/>
  <c r="O35" i="1"/>
  <c r="N35" i="1"/>
  <c r="M35" i="1"/>
  <c r="L35" i="1"/>
  <c r="J35" i="1"/>
  <c r="G35" i="1"/>
  <c r="F35" i="1"/>
  <c r="D35" i="1"/>
  <c r="C35" i="1"/>
  <c r="R34" i="1"/>
  <c r="E34" i="1"/>
  <c r="R32" i="1"/>
  <c r="R31" i="1" s="1"/>
  <c r="E32" i="1"/>
  <c r="Q31" i="1"/>
  <c r="P31" i="1"/>
  <c r="O31" i="1"/>
  <c r="N31" i="1"/>
  <c r="M31" i="1"/>
  <c r="L31" i="1"/>
  <c r="I31" i="1"/>
  <c r="H31" i="1"/>
  <c r="G31" i="1"/>
  <c r="F31" i="1"/>
  <c r="R30" i="1"/>
  <c r="E30" i="1"/>
  <c r="R29" i="1"/>
  <c r="E29" i="1"/>
  <c r="R28" i="1"/>
  <c r="E28" i="1"/>
  <c r="R27" i="1"/>
  <c r="E27" i="1"/>
  <c r="Q26" i="1"/>
  <c r="P26" i="1"/>
  <c r="O26" i="1"/>
  <c r="N26" i="1"/>
  <c r="M26" i="1"/>
  <c r="L26" i="1"/>
  <c r="K26" i="1"/>
  <c r="J26" i="1"/>
  <c r="I26" i="1"/>
  <c r="H26" i="1"/>
  <c r="D26" i="1"/>
  <c r="C26" i="1"/>
  <c r="R24" i="1"/>
  <c r="E24" i="1"/>
  <c r="R23" i="1"/>
  <c r="E23" i="1"/>
  <c r="R22" i="1"/>
  <c r="E22" i="1"/>
  <c r="Q21" i="1"/>
  <c r="P21" i="1"/>
  <c r="O21" i="1"/>
  <c r="N21" i="1"/>
  <c r="M21" i="1"/>
  <c r="L21" i="1"/>
  <c r="K21" i="1"/>
  <c r="J21" i="1"/>
  <c r="I21" i="1"/>
  <c r="H21" i="1"/>
  <c r="G21" i="1"/>
  <c r="D21" i="1"/>
  <c r="C21" i="1"/>
  <c r="R20" i="1"/>
  <c r="E20" i="1"/>
  <c r="E19" i="1" s="1"/>
  <c r="B18" i="3" s="1"/>
  <c r="B14" i="4" s="1"/>
  <c r="Q19" i="1"/>
  <c r="P19" i="1"/>
  <c r="O19" i="1"/>
  <c r="N19" i="1"/>
  <c r="M19" i="1"/>
  <c r="L19" i="1"/>
  <c r="K19" i="1"/>
  <c r="J19" i="1"/>
  <c r="I19" i="1"/>
  <c r="H19" i="1"/>
  <c r="G19" i="1"/>
  <c r="D19" i="1"/>
  <c r="C19" i="1"/>
  <c r="E18" i="1"/>
  <c r="S18" i="1" s="1"/>
  <c r="E17" i="1"/>
  <c r="R15" i="1"/>
  <c r="E16" i="1"/>
  <c r="S16" i="1" s="1"/>
  <c r="Q15" i="1"/>
  <c r="P15" i="1"/>
  <c r="O15" i="1"/>
  <c r="N15" i="1"/>
  <c r="M15" i="1"/>
  <c r="L15" i="1"/>
  <c r="K15" i="1"/>
  <c r="J15" i="1"/>
  <c r="I15" i="1"/>
  <c r="H15" i="1"/>
  <c r="G15" i="1"/>
  <c r="D15" i="1"/>
  <c r="C15" i="1"/>
  <c r="E14" i="1"/>
  <c r="S14" i="1" s="1"/>
  <c r="E13" i="1"/>
  <c r="S13" i="1" s="1"/>
  <c r="E12" i="1"/>
  <c r="E11" i="1"/>
  <c r="S11" i="1" s="1"/>
  <c r="E10" i="1"/>
  <c r="S10" i="1" s="1"/>
  <c r="E9" i="1"/>
  <c r="Q8" i="1"/>
  <c r="P8" i="1"/>
  <c r="O8" i="1"/>
  <c r="N8" i="1"/>
  <c r="M8" i="1"/>
  <c r="L8" i="1"/>
  <c r="K8" i="1"/>
  <c r="G8" i="1"/>
  <c r="D8" i="1"/>
  <c r="C8" i="1"/>
  <c r="E54" i="1" l="1"/>
  <c r="R54" i="1"/>
  <c r="E57" i="2"/>
  <c r="S13" i="2"/>
  <c r="D99" i="2"/>
  <c r="D69" i="2"/>
  <c r="D123" i="2" s="1"/>
  <c r="M99" i="2"/>
  <c r="E43" i="2"/>
  <c r="E78" i="2"/>
  <c r="E86" i="2"/>
  <c r="E100" i="2"/>
  <c r="E99" i="2" s="1"/>
  <c r="O99" i="2"/>
  <c r="P69" i="2"/>
  <c r="P123" i="2" s="1"/>
  <c r="Q69" i="2"/>
  <c r="Q123" i="2" s="1"/>
  <c r="R70" i="2"/>
  <c r="B81" i="3"/>
  <c r="E8" i="2"/>
  <c r="S65" i="2"/>
  <c r="O69" i="2"/>
  <c r="O123" i="2" s="1"/>
  <c r="M69" i="2"/>
  <c r="S113" i="1"/>
  <c r="R68" i="1"/>
  <c r="R86" i="1"/>
  <c r="C35" i="3" s="1"/>
  <c r="Q67" i="1"/>
  <c r="C81" i="3"/>
  <c r="B104" i="3"/>
  <c r="E104" i="2"/>
  <c r="E70" i="2"/>
  <c r="D124" i="2"/>
  <c r="R100" i="2"/>
  <c r="R99" i="2" s="1"/>
  <c r="C26" i="2"/>
  <c r="C122" i="2" s="1"/>
  <c r="E17" i="2"/>
  <c r="B83" i="3" s="1"/>
  <c r="B27" i="3"/>
  <c r="R45" i="1"/>
  <c r="C26" i="3" s="1"/>
  <c r="R35" i="1"/>
  <c r="C23" i="3" s="1"/>
  <c r="J7" i="1"/>
  <c r="J139" i="1" s="1"/>
  <c r="K109" i="1"/>
  <c r="K143" i="1" s="1"/>
  <c r="N67" i="1"/>
  <c r="O67" i="1"/>
  <c r="P67" i="1"/>
  <c r="I67" i="1"/>
  <c r="I141" i="1" s="1"/>
  <c r="J141" i="1"/>
  <c r="K67" i="1"/>
  <c r="K141" i="1" s="1"/>
  <c r="L67" i="1"/>
  <c r="L141" i="1" s="1"/>
  <c r="M67" i="1"/>
  <c r="M141" i="1" s="1"/>
  <c r="E142" i="1"/>
  <c r="F108" i="1"/>
  <c r="G108" i="1" s="1"/>
  <c r="R92" i="1"/>
  <c r="J25" i="1"/>
  <c r="J140" i="1" s="1"/>
  <c r="I109" i="1"/>
  <c r="I143" i="1" s="1"/>
  <c r="R114" i="2"/>
  <c r="C105" i="3"/>
  <c r="C38" i="4" s="1"/>
  <c r="S73" i="2"/>
  <c r="E114" i="2"/>
  <c r="B105" i="3"/>
  <c r="D122" i="2"/>
  <c r="B92" i="3"/>
  <c r="R109" i="2"/>
  <c r="C69" i="2"/>
  <c r="C123" i="2" s="1"/>
  <c r="R17" i="2"/>
  <c r="C83" i="3" s="1"/>
  <c r="R8" i="2"/>
  <c r="R26" i="1"/>
  <c r="E31" i="1"/>
  <c r="B22" i="3" s="1"/>
  <c r="B18" i="4" s="1"/>
  <c r="H67" i="1"/>
  <c r="H141" i="1" s="1"/>
  <c r="E136" i="1"/>
  <c r="B47" i="3" s="1"/>
  <c r="B42" i="4" s="1"/>
  <c r="C45" i="3"/>
  <c r="D67" i="1"/>
  <c r="D141" i="1" s="1"/>
  <c r="H109" i="1"/>
  <c r="H143" i="1" s="1"/>
  <c r="C27" i="3"/>
  <c r="M25" i="1"/>
  <c r="M140" i="1" s="1"/>
  <c r="E45" i="1"/>
  <c r="B26" i="3" s="1"/>
  <c r="R71" i="1"/>
  <c r="D98" i="3"/>
  <c r="R38" i="2"/>
  <c r="C88" i="3" s="1"/>
  <c r="C20" i="4" s="1"/>
  <c r="C12" i="4"/>
  <c r="S90" i="2"/>
  <c r="S113" i="2"/>
  <c r="B44" i="3"/>
  <c r="B39" i="4" s="1"/>
  <c r="N25" i="1"/>
  <c r="N140" i="1" s="1"/>
  <c r="E26" i="1"/>
  <c r="E118" i="1"/>
  <c r="B42" i="3" s="1"/>
  <c r="R118" i="1"/>
  <c r="C42" i="3" s="1"/>
  <c r="C37" i="4" s="1"/>
  <c r="R123" i="1"/>
  <c r="Q25" i="1"/>
  <c r="Q140" i="1" s="1"/>
  <c r="D25" i="1"/>
  <c r="D140" i="1" s="1"/>
  <c r="H25" i="1"/>
  <c r="H140" i="1" s="1"/>
  <c r="F25" i="1"/>
  <c r="F140" i="1" s="1"/>
  <c r="E68" i="1"/>
  <c r="B30" i="3" s="1"/>
  <c r="I25" i="1"/>
  <c r="I140" i="1" s="1"/>
  <c r="G25" i="1"/>
  <c r="G140" i="1" s="1"/>
  <c r="P109" i="1"/>
  <c r="O25" i="1"/>
  <c r="O140" i="1" s="1"/>
  <c r="P25" i="1"/>
  <c r="P140" i="1" s="1"/>
  <c r="K25" i="1"/>
  <c r="K140" i="1" s="1"/>
  <c r="L25" i="1"/>
  <c r="E86" i="1"/>
  <c r="B35" i="3" s="1"/>
  <c r="L109" i="1"/>
  <c r="L143" i="1" s="1"/>
  <c r="E71" i="1"/>
  <c r="B31" i="3" s="1"/>
  <c r="M143" i="1"/>
  <c r="N109" i="1"/>
  <c r="N143" i="1" s="1"/>
  <c r="O109" i="1"/>
  <c r="O143" i="1" s="1"/>
  <c r="R75" i="1"/>
  <c r="C32" i="3" s="1"/>
  <c r="F109" i="1"/>
  <c r="F143" i="1" s="1"/>
  <c r="E40" i="1"/>
  <c r="G109" i="1"/>
  <c r="G143" i="1" s="1"/>
  <c r="D143" i="1"/>
  <c r="S12" i="1"/>
  <c r="B16" i="3"/>
  <c r="S9" i="1"/>
  <c r="B15" i="3"/>
  <c r="D24" i="3"/>
  <c r="D82" i="3"/>
  <c r="E32" i="2"/>
  <c r="E106" i="2"/>
  <c r="S28" i="2"/>
  <c r="S33" i="2"/>
  <c r="S105" i="2"/>
  <c r="S104" i="2" s="1"/>
  <c r="S92" i="2"/>
  <c r="E35" i="2"/>
  <c r="B87" i="3" s="1"/>
  <c r="S107" i="2"/>
  <c r="E48" i="2"/>
  <c r="B90" i="3" s="1"/>
  <c r="B22" i="4" s="1"/>
  <c r="S108" i="2"/>
  <c r="C90" i="3"/>
  <c r="C22" i="4" s="1"/>
  <c r="C95" i="3"/>
  <c r="S97" i="2"/>
  <c r="S50" i="2"/>
  <c r="B97" i="3"/>
  <c r="F124" i="2"/>
  <c r="S68" i="2"/>
  <c r="B100" i="3"/>
  <c r="Q124" i="2"/>
  <c r="S110" i="2"/>
  <c r="J7" i="2"/>
  <c r="J121" i="2" s="1"/>
  <c r="P7" i="2"/>
  <c r="P121" i="2" s="1"/>
  <c r="S34" i="2"/>
  <c r="K7" i="2"/>
  <c r="K121" i="2" s="1"/>
  <c r="J26" i="2"/>
  <c r="J122" i="2" s="1"/>
  <c r="S44" i="2"/>
  <c r="B89" i="3"/>
  <c r="S80" i="2"/>
  <c r="R43" i="2"/>
  <c r="C89" i="3" s="1"/>
  <c r="R74" i="2"/>
  <c r="S87" i="2"/>
  <c r="H69" i="2"/>
  <c r="H123" i="2" s="1"/>
  <c r="S72" i="2"/>
  <c r="S98" i="2"/>
  <c r="E109" i="2"/>
  <c r="K26" i="2"/>
  <c r="K122" i="2" s="1"/>
  <c r="S102" i="2"/>
  <c r="R66" i="2"/>
  <c r="C93" i="3" s="1"/>
  <c r="O7" i="2"/>
  <c r="O121" i="2" s="1"/>
  <c r="R35" i="2"/>
  <c r="C87" i="3" s="1"/>
  <c r="P26" i="2"/>
  <c r="P122" i="2" s="1"/>
  <c r="S53" i="2"/>
  <c r="S79" i="2"/>
  <c r="B101" i="3"/>
  <c r="S111" i="2"/>
  <c r="S96" i="2"/>
  <c r="S101" i="2"/>
  <c r="I26" i="2"/>
  <c r="I122" i="2" s="1"/>
  <c r="S37" i="2"/>
  <c r="E51" i="2"/>
  <c r="B91" i="3" s="1"/>
  <c r="S88" i="2"/>
  <c r="M124" i="2"/>
  <c r="S117" i="2"/>
  <c r="S116" i="2" s="1"/>
  <c r="O124" i="2"/>
  <c r="S40" i="2"/>
  <c r="S55" i="2"/>
  <c r="F69" i="2"/>
  <c r="F123" i="2" s="1"/>
  <c r="S76" i="2"/>
  <c r="S74" i="2" s="1"/>
  <c r="L69" i="2"/>
  <c r="L123" i="2" s="1"/>
  <c r="S95" i="2"/>
  <c r="P124" i="2"/>
  <c r="L7" i="2"/>
  <c r="L121" i="2" s="1"/>
  <c r="S71" i="2"/>
  <c r="M123" i="2"/>
  <c r="E27" i="2"/>
  <c r="S29" i="2"/>
  <c r="S18" i="2"/>
  <c r="C7" i="2"/>
  <c r="S11" i="2"/>
  <c r="S16" i="2"/>
  <c r="S14" i="2"/>
  <c r="E115" i="1"/>
  <c r="B41" i="3" s="1"/>
  <c r="E110" i="1"/>
  <c r="S37" i="1"/>
  <c r="S95" i="1"/>
  <c r="S91" i="1"/>
  <c r="E82" i="1"/>
  <c r="B34" i="3" s="1"/>
  <c r="B31" i="4" s="1"/>
  <c r="S100" i="1"/>
  <c r="E15" i="1"/>
  <c r="B17" i="3" s="1"/>
  <c r="E35" i="1"/>
  <c r="B23" i="3" s="1"/>
  <c r="S57" i="1"/>
  <c r="S94" i="1"/>
  <c r="S101" i="1"/>
  <c r="J143" i="1"/>
  <c r="S58" i="1"/>
  <c r="S97" i="1"/>
  <c r="S73" i="1"/>
  <c r="E75" i="1"/>
  <c r="B32" i="3" s="1"/>
  <c r="S85" i="1"/>
  <c r="F139" i="1"/>
  <c r="C143" i="1"/>
  <c r="R82" i="1"/>
  <c r="C34" i="3" s="1"/>
  <c r="C31" i="4" s="1"/>
  <c r="C25" i="1"/>
  <c r="C140" i="1" s="1"/>
  <c r="S78" i="1"/>
  <c r="S104" i="1"/>
  <c r="S128" i="1"/>
  <c r="S62" i="1"/>
  <c r="S63" i="1"/>
  <c r="C67" i="1"/>
  <c r="C141" i="1" s="1"/>
  <c r="O141" i="1"/>
  <c r="N7" i="1"/>
  <c r="N139" i="1" s="1"/>
  <c r="P141" i="1"/>
  <c r="R80" i="1"/>
  <c r="C33" i="3" s="1"/>
  <c r="C30" i="4" s="1"/>
  <c r="S81" i="1"/>
  <c r="S80" i="1" s="1"/>
  <c r="S119" i="1"/>
  <c r="S118" i="1" s="1"/>
  <c r="S116" i="1"/>
  <c r="S59" i="1"/>
  <c r="N141" i="1"/>
  <c r="S83" i="1"/>
  <c r="S99" i="1"/>
  <c r="S17" i="1"/>
  <c r="S15" i="1" s="1"/>
  <c r="S29" i="1"/>
  <c r="S77" i="1"/>
  <c r="G7" i="1"/>
  <c r="G139" i="1" s="1"/>
  <c r="H7" i="1"/>
  <c r="H139" i="1" s="1"/>
  <c r="P143" i="1"/>
  <c r="E107" i="1"/>
  <c r="I7" i="1"/>
  <c r="I139" i="1" s="1"/>
  <c r="S69" i="1"/>
  <c r="S68" i="1" s="1"/>
  <c r="S84" i="1"/>
  <c r="S20" i="1"/>
  <c r="S19" i="1" s="1"/>
  <c r="R64" i="1"/>
  <c r="C28" i="3" s="1"/>
  <c r="R110" i="1"/>
  <c r="R136" i="1"/>
  <c r="S49" i="1"/>
  <c r="B21" i="3"/>
  <c r="D7" i="1"/>
  <c r="D139" i="1" s="1"/>
  <c r="C7" i="1"/>
  <c r="C139" i="1" s="1"/>
  <c r="S115" i="2"/>
  <c r="S114" i="2" s="1"/>
  <c r="S94" i="2"/>
  <c r="R86" i="2"/>
  <c r="C100" i="3" s="1"/>
  <c r="S83" i="2"/>
  <c r="S82" i="2" s="1"/>
  <c r="I69" i="2"/>
  <c r="I123" i="2" s="1"/>
  <c r="N123" i="2"/>
  <c r="J69" i="2"/>
  <c r="J123" i="2" s="1"/>
  <c r="K69" i="2"/>
  <c r="K123" i="2" s="1"/>
  <c r="G69" i="2"/>
  <c r="G123" i="2" s="1"/>
  <c r="S67" i="2"/>
  <c r="R57" i="2"/>
  <c r="S62" i="2"/>
  <c r="S64" i="2"/>
  <c r="R51" i="2"/>
  <c r="C91" i="3" s="1"/>
  <c r="G26" i="2"/>
  <c r="G122" i="2" s="1"/>
  <c r="S56" i="2"/>
  <c r="S49" i="2"/>
  <c r="Q26" i="2"/>
  <c r="Q122" i="2" s="1"/>
  <c r="F26" i="2"/>
  <c r="F122" i="2" s="1"/>
  <c r="S47" i="2"/>
  <c r="S41" i="2"/>
  <c r="S36" i="2"/>
  <c r="R32" i="2"/>
  <c r="R27" i="2"/>
  <c r="C86" i="3" s="1"/>
  <c r="H26" i="2"/>
  <c r="H122" i="2" s="1"/>
  <c r="O26" i="2"/>
  <c r="O122" i="2" s="1"/>
  <c r="S30" i="2"/>
  <c r="L26" i="2"/>
  <c r="L122" i="2" s="1"/>
  <c r="M26" i="2"/>
  <c r="M122" i="2" s="1"/>
  <c r="S31" i="2"/>
  <c r="N26" i="2"/>
  <c r="N122" i="2" s="1"/>
  <c r="Q7" i="2"/>
  <c r="R22" i="2"/>
  <c r="C84" i="3" s="1"/>
  <c r="S24" i="2"/>
  <c r="M7" i="2"/>
  <c r="M121" i="2" s="1"/>
  <c r="N7" i="2"/>
  <c r="S21" i="2"/>
  <c r="G7" i="2"/>
  <c r="G121" i="2" s="1"/>
  <c r="H7" i="2"/>
  <c r="S10" i="2"/>
  <c r="I7" i="2"/>
  <c r="I121" i="2" s="1"/>
  <c r="S15" i="2"/>
  <c r="S129" i="1"/>
  <c r="S131" i="1"/>
  <c r="Q143" i="1"/>
  <c r="S117" i="1"/>
  <c r="S102" i="1"/>
  <c r="S103" i="1"/>
  <c r="S105" i="1"/>
  <c r="G67" i="1"/>
  <c r="S90" i="1"/>
  <c r="S87" i="1"/>
  <c r="S79" i="1"/>
  <c r="S74" i="1"/>
  <c r="C31" i="3"/>
  <c r="C28" i="4" s="1"/>
  <c r="Q141" i="1"/>
  <c r="F67" i="1"/>
  <c r="F141" i="1" s="1"/>
  <c r="C30" i="3"/>
  <c r="S65" i="1"/>
  <c r="S66" i="1"/>
  <c r="S61" i="1"/>
  <c r="S56" i="1"/>
  <c r="S51" i="1"/>
  <c r="S52" i="1"/>
  <c r="S53" i="1"/>
  <c r="C25" i="3"/>
  <c r="S36" i="1"/>
  <c r="S32" i="1"/>
  <c r="C22" i="3"/>
  <c r="C18" i="4" s="1"/>
  <c r="S34" i="1"/>
  <c r="S30" i="1"/>
  <c r="S28" i="1"/>
  <c r="R21" i="1"/>
  <c r="C19" i="3" s="1"/>
  <c r="S22" i="1"/>
  <c r="S23" i="1"/>
  <c r="S24" i="1"/>
  <c r="L7" i="1"/>
  <c r="L139" i="1" s="1"/>
  <c r="P7" i="1"/>
  <c r="P139" i="1" s="1"/>
  <c r="Q7" i="1"/>
  <c r="Q139" i="1" s="1"/>
  <c r="R19" i="1"/>
  <c r="K7" i="1"/>
  <c r="K139" i="1" s="1"/>
  <c r="O7" i="1"/>
  <c r="O139" i="1" s="1"/>
  <c r="M7" i="1"/>
  <c r="M139" i="1" s="1"/>
  <c r="S9" i="2"/>
  <c r="E22" i="2"/>
  <c r="B84" i="3" s="1"/>
  <c r="E66" i="2"/>
  <c r="R106" i="2"/>
  <c r="S42" i="2"/>
  <c r="S54" i="2"/>
  <c r="S89" i="2"/>
  <c r="S103" i="2"/>
  <c r="E112" i="2"/>
  <c r="S112" i="2" s="1"/>
  <c r="E23" i="2"/>
  <c r="S23" i="2" s="1"/>
  <c r="R25" i="2"/>
  <c r="S25" i="2" s="1"/>
  <c r="E74" i="2"/>
  <c r="S45" i="2"/>
  <c r="S20" i="2"/>
  <c r="S46" i="2"/>
  <c r="S58" i="2"/>
  <c r="S81" i="2"/>
  <c r="S93" i="2"/>
  <c r="F7" i="2"/>
  <c r="R78" i="2"/>
  <c r="C97" i="3" s="1"/>
  <c r="R91" i="2"/>
  <c r="C101" i="3" s="1"/>
  <c r="S61" i="2"/>
  <c r="S41" i="1"/>
  <c r="S40" i="1" s="1"/>
  <c r="E21" i="1"/>
  <c r="B19" i="3" s="1"/>
  <c r="S27" i="1"/>
  <c r="E64" i="1"/>
  <c r="B28" i="3" s="1"/>
  <c r="B25" i="4" s="1"/>
  <c r="S88" i="1"/>
  <c r="S72" i="1"/>
  <c r="E98" i="1"/>
  <c r="S98" i="1" s="1"/>
  <c r="S93" i="1"/>
  <c r="S137" i="1"/>
  <c r="E8" i="1"/>
  <c r="E80" i="1"/>
  <c r="B33" i="3" s="1"/>
  <c r="C94" i="3" l="1"/>
  <c r="S54" i="1"/>
  <c r="B86" i="3"/>
  <c r="E26" i="2"/>
  <c r="S48" i="2"/>
  <c r="E69" i="2"/>
  <c r="B96" i="3"/>
  <c r="D96" i="3" s="1"/>
  <c r="B28" i="4"/>
  <c r="S100" i="2"/>
  <c r="S99" i="2" s="1"/>
  <c r="B80" i="3"/>
  <c r="R69" i="2"/>
  <c r="S123" i="1"/>
  <c r="R139" i="1"/>
  <c r="L140" i="1"/>
  <c r="R140" i="1" s="1"/>
  <c r="C18" i="3"/>
  <c r="D18" i="3" s="1"/>
  <c r="R7" i="1"/>
  <c r="B36" i="4"/>
  <c r="D36" i="4" s="1"/>
  <c r="E124" i="2"/>
  <c r="D104" i="3"/>
  <c r="S45" i="1"/>
  <c r="C21" i="4"/>
  <c r="B19" i="4"/>
  <c r="C44" i="3"/>
  <c r="C39" i="4" s="1"/>
  <c r="D39" i="4" s="1"/>
  <c r="R109" i="1"/>
  <c r="E109" i="1"/>
  <c r="E143" i="1" s="1"/>
  <c r="G107" i="1"/>
  <c r="G106" i="1" s="1"/>
  <c r="G142" i="1"/>
  <c r="S92" i="1"/>
  <c r="C25" i="4"/>
  <c r="D93" i="3"/>
  <c r="H108" i="1"/>
  <c r="F107" i="1"/>
  <c r="F106" i="1" s="1"/>
  <c r="F138" i="1" s="1"/>
  <c r="F142" i="1"/>
  <c r="S35" i="1"/>
  <c r="S91" i="2"/>
  <c r="B95" i="3"/>
  <c r="B27" i="4" s="1"/>
  <c r="S109" i="2"/>
  <c r="R124" i="2"/>
  <c r="S106" i="2"/>
  <c r="C99" i="2"/>
  <c r="C124" i="2" s="1"/>
  <c r="B15" i="4"/>
  <c r="D105" i="3"/>
  <c r="B38" i="4"/>
  <c r="D38" i="4" s="1"/>
  <c r="R123" i="2"/>
  <c r="C23" i="4"/>
  <c r="H121" i="2"/>
  <c r="H120" i="2"/>
  <c r="B88" i="3"/>
  <c r="B20" i="4" s="1"/>
  <c r="D20" i="4" s="1"/>
  <c r="E122" i="2"/>
  <c r="C19" i="4"/>
  <c r="S17" i="2"/>
  <c r="R25" i="1"/>
  <c r="S31" i="1"/>
  <c r="C36" i="3"/>
  <c r="C33" i="4" s="1"/>
  <c r="R67" i="1"/>
  <c r="C40" i="4"/>
  <c r="D40" i="4" s="1"/>
  <c r="D45" i="3"/>
  <c r="S110" i="1"/>
  <c r="E92" i="1"/>
  <c r="B17" i="4"/>
  <c r="C27" i="4"/>
  <c r="C92" i="3"/>
  <c r="R26" i="2"/>
  <c r="D100" i="3"/>
  <c r="D97" i="3"/>
  <c r="B23" i="4"/>
  <c r="S38" i="2"/>
  <c r="D89" i="3"/>
  <c r="D101" i="3"/>
  <c r="S32" i="2"/>
  <c r="D87" i="3"/>
  <c r="D86" i="3"/>
  <c r="B32" i="4"/>
  <c r="C13" i="4"/>
  <c r="C103" i="3"/>
  <c r="C102" i="3" s="1"/>
  <c r="S35" i="2"/>
  <c r="D84" i="3"/>
  <c r="D91" i="3"/>
  <c r="B103" i="3"/>
  <c r="B102" i="3" s="1"/>
  <c r="C29" i="4"/>
  <c r="B37" i="4"/>
  <c r="D37" i="4" s="1"/>
  <c r="D42" i="3"/>
  <c r="E25" i="1"/>
  <c r="E140" i="1" s="1"/>
  <c r="S86" i="1"/>
  <c r="B25" i="3"/>
  <c r="B21" i="4" s="1"/>
  <c r="S71" i="1"/>
  <c r="S75" i="1"/>
  <c r="D15" i="3"/>
  <c r="S8" i="1"/>
  <c r="D30" i="3"/>
  <c r="S136" i="1"/>
  <c r="C47" i="3"/>
  <c r="B12" i="4"/>
  <c r="D16" i="3"/>
  <c r="E106" i="1"/>
  <c r="B38" i="3"/>
  <c r="D38" i="3" s="1"/>
  <c r="D37" i="3" s="1"/>
  <c r="B24" i="4"/>
  <c r="D27" i="3"/>
  <c r="D35" i="3"/>
  <c r="C32" i="4"/>
  <c r="B11" i="4"/>
  <c r="B14" i="3"/>
  <c r="D41" i="3"/>
  <c r="D28" i="3"/>
  <c r="D22" i="3"/>
  <c r="D26" i="3"/>
  <c r="D31" i="3"/>
  <c r="S115" i="1"/>
  <c r="B29" i="4"/>
  <c r="D32" i="3"/>
  <c r="B13" i="4"/>
  <c r="D17" i="3"/>
  <c r="D31" i="4"/>
  <c r="D34" i="3"/>
  <c r="B30" i="4"/>
  <c r="D30" i="4" s="1"/>
  <c r="D33" i="3"/>
  <c r="D90" i="3"/>
  <c r="D83" i="3"/>
  <c r="C11" i="4"/>
  <c r="C80" i="3"/>
  <c r="D81" i="3"/>
  <c r="D23" i="3"/>
  <c r="C21" i="3"/>
  <c r="C17" i="4" s="1"/>
  <c r="C15" i="4"/>
  <c r="D19" i="3"/>
  <c r="C40" i="3"/>
  <c r="B40" i="3"/>
  <c r="S86" i="2"/>
  <c r="S78" i="2"/>
  <c r="S66" i="2"/>
  <c r="S70" i="2"/>
  <c r="S43" i="2"/>
  <c r="S27" i="2"/>
  <c r="S51" i="2"/>
  <c r="C121" i="2"/>
  <c r="S82" i="1"/>
  <c r="G138" i="1"/>
  <c r="D138" i="1"/>
  <c r="E7" i="1"/>
  <c r="E139" i="1" s="1"/>
  <c r="S21" i="1"/>
  <c r="C138" i="1"/>
  <c r="I120" i="2"/>
  <c r="P120" i="2"/>
  <c r="J120" i="2"/>
  <c r="K120" i="2"/>
  <c r="Q120" i="2"/>
  <c r="N120" i="2"/>
  <c r="L120" i="2"/>
  <c r="R122" i="2"/>
  <c r="O120" i="2"/>
  <c r="Q121" i="2"/>
  <c r="M120" i="2"/>
  <c r="N121" i="2"/>
  <c r="G120" i="2"/>
  <c r="R7" i="2"/>
  <c r="R121" i="2" s="1"/>
  <c r="S8" i="2"/>
  <c r="R143" i="1"/>
  <c r="G141" i="1"/>
  <c r="R141" i="1" s="1"/>
  <c r="S64" i="1"/>
  <c r="S26" i="1"/>
  <c r="D120" i="2"/>
  <c r="D121" i="2"/>
  <c r="F121" i="2"/>
  <c r="F120" i="2"/>
  <c r="S22" i="2"/>
  <c r="E7" i="2"/>
  <c r="S57" i="2"/>
  <c r="S139" i="1" l="1"/>
  <c r="R120" i="2"/>
  <c r="E123" i="2"/>
  <c r="S69" i="2"/>
  <c r="S123" i="2" s="1"/>
  <c r="C14" i="4"/>
  <c r="C10" i="4" s="1"/>
  <c r="C14" i="3"/>
  <c r="E14" i="3" s="1"/>
  <c r="D95" i="3"/>
  <c r="D94" i="3" s="1"/>
  <c r="B94" i="3"/>
  <c r="E94" i="3" s="1"/>
  <c r="D44" i="3"/>
  <c r="S67" i="1"/>
  <c r="H107" i="1"/>
  <c r="H106" i="1" s="1"/>
  <c r="H138" i="1" s="1"/>
  <c r="H142" i="1"/>
  <c r="I108" i="1"/>
  <c r="C120" i="2"/>
  <c r="S124" i="2"/>
  <c r="D88" i="3"/>
  <c r="B85" i="3"/>
  <c r="C85" i="3"/>
  <c r="C108" i="3" s="1"/>
  <c r="C24" i="4"/>
  <c r="C16" i="4" s="1"/>
  <c r="S26" i="2"/>
  <c r="S122" i="2" s="1"/>
  <c r="C29" i="3"/>
  <c r="S109" i="1"/>
  <c r="S25" i="1"/>
  <c r="E102" i="3"/>
  <c r="D32" i="4"/>
  <c r="D27" i="4"/>
  <c r="B20" i="3"/>
  <c r="D92" i="3"/>
  <c r="D80" i="3"/>
  <c r="D22" i="4"/>
  <c r="D103" i="3"/>
  <c r="D102" i="3" s="1"/>
  <c r="B35" i="4"/>
  <c r="B34" i="4" s="1"/>
  <c r="B48" i="4" s="1"/>
  <c r="D13" i="4"/>
  <c r="D29" i="4"/>
  <c r="D25" i="3"/>
  <c r="D23" i="4"/>
  <c r="S7" i="1"/>
  <c r="D18" i="4"/>
  <c r="D12" i="4"/>
  <c r="C26" i="4"/>
  <c r="D25" i="4"/>
  <c r="D21" i="4"/>
  <c r="D19" i="4"/>
  <c r="D15" i="4"/>
  <c r="D11" i="4"/>
  <c r="B16" i="4"/>
  <c r="B46" i="4" s="1"/>
  <c r="D14" i="3"/>
  <c r="E67" i="1"/>
  <c r="E141" i="1" s="1"/>
  <c r="S141" i="1" s="1"/>
  <c r="B36" i="3"/>
  <c r="C42" i="4"/>
  <c r="D42" i="4" s="1"/>
  <c r="D47" i="3"/>
  <c r="B10" i="4"/>
  <c r="D28" i="4"/>
  <c r="C39" i="3"/>
  <c r="C35" i="4"/>
  <c r="E80" i="3"/>
  <c r="D21" i="3"/>
  <c r="C20" i="3"/>
  <c r="D14" i="4"/>
  <c r="B39" i="3"/>
  <c r="D40" i="3"/>
  <c r="S143" i="1"/>
  <c r="S140" i="1"/>
  <c r="S7" i="2"/>
  <c r="S121" i="2" s="1"/>
  <c r="E120" i="2"/>
  <c r="E121" i="2"/>
  <c r="B108" i="3" l="1"/>
  <c r="D20" i="3"/>
  <c r="I107" i="1"/>
  <c r="I106" i="1" s="1"/>
  <c r="I138" i="1" s="1"/>
  <c r="I142" i="1"/>
  <c r="J108" i="1"/>
  <c r="E85" i="3"/>
  <c r="D85" i="3"/>
  <c r="D108" i="3" s="1"/>
  <c r="D24" i="4"/>
  <c r="C34" i="4"/>
  <c r="E34" i="4" s="1"/>
  <c r="C47" i="4"/>
  <c r="E10" i="4"/>
  <c r="E20" i="3"/>
  <c r="E138" i="1"/>
  <c r="D10" i="4"/>
  <c r="D45" i="4" s="1"/>
  <c r="D39" i="3"/>
  <c r="B33" i="4"/>
  <c r="D36" i="3"/>
  <c r="D29" i="3" s="1"/>
  <c r="B29" i="3"/>
  <c r="E29" i="3" s="1"/>
  <c r="B45" i="4"/>
  <c r="D35" i="4"/>
  <c r="C48" i="3"/>
  <c r="D17" i="4"/>
  <c r="C45" i="4"/>
  <c r="E39" i="3"/>
  <c r="S120" i="2"/>
  <c r="C43" i="4" l="1"/>
  <c r="J107" i="1"/>
  <c r="J106" i="1" s="1"/>
  <c r="J138" i="1" s="1"/>
  <c r="J142" i="1"/>
  <c r="K108" i="1"/>
  <c r="D16" i="4"/>
  <c r="D46" i="4" s="1"/>
  <c r="C110" i="3"/>
  <c r="E108" i="3"/>
  <c r="D34" i="4"/>
  <c r="D48" i="4" s="1"/>
  <c r="D48" i="3"/>
  <c r="D110" i="3" s="1"/>
  <c r="B48" i="3"/>
  <c r="D33" i="4"/>
  <c r="D26" i="4" s="1"/>
  <c r="D47" i="4" s="1"/>
  <c r="B26" i="4"/>
  <c r="E26" i="4" s="1"/>
  <c r="C48" i="4"/>
  <c r="E48" i="4" s="1"/>
  <c r="C46" i="4"/>
  <c r="E46" i="4" s="1"/>
  <c r="E16" i="4"/>
  <c r="E45" i="4"/>
  <c r="K142" i="1" l="1"/>
  <c r="K107" i="1"/>
  <c r="K106" i="1" s="1"/>
  <c r="K138" i="1" s="1"/>
  <c r="L108" i="1"/>
  <c r="D49" i="4"/>
  <c r="B110" i="3"/>
  <c r="E110" i="3" s="1"/>
  <c r="E48" i="3"/>
  <c r="D43" i="4"/>
  <c r="B47" i="4"/>
  <c r="B43" i="4"/>
  <c r="E43" i="4" s="1"/>
  <c r="C49" i="4"/>
  <c r="M108" i="1" l="1"/>
  <c r="N108" i="1"/>
  <c r="L142" i="1"/>
  <c r="L107" i="1"/>
  <c r="L106" i="1" s="1"/>
  <c r="L138" i="1" s="1"/>
  <c r="E47" i="4"/>
  <c r="B49" i="4"/>
  <c r="E49" i="4" s="1"/>
  <c r="N142" i="1" l="1"/>
  <c r="N107" i="1"/>
  <c r="N106" i="1" s="1"/>
  <c r="N138" i="1" s="1"/>
  <c r="O108" i="1"/>
  <c r="M142" i="1"/>
  <c r="M107" i="1"/>
  <c r="M106" i="1" s="1"/>
  <c r="M138" i="1" s="1"/>
  <c r="O142" i="1" l="1"/>
  <c r="O107" i="1"/>
  <c r="O106" i="1" s="1"/>
  <c r="O138" i="1" s="1"/>
  <c r="P108" i="1"/>
  <c r="P107" i="1" l="1"/>
  <c r="P106" i="1" s="1"/>
  <c r="P138" i="1" s="1"/>
  <c r="P142" i="1"/>
  <c r="Q108" i="1"/>
  <c r="Q107" i="1" l="1"/>
  <c r="Q106" i="1" s="1"/>
  <c r="Q138" i="1" s="1"/>
  <c r="Q142" i="1"/>
  <c r="R142" i="1" s="1"/>
  <c r="S142" i="1" s="1"/>
  <c r="R108" i="1"/>
  <c r="R107" i="1" s="1"/>
  <c r="R106" i="1" s="1"/>
  <c r="R138" i="1" s="1"/>
  <c r="S108" i="1" l="1"/>
  <c r="S107" i="1" s="1"/>
  <c r="S106" i="1" s="1"/>
  <c r="S1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tc={26171A55-DC1C-456E-A4C7-84AA67DA6BFE}</author>
    <author>tc={CB1CCE45-6C50-4253-90B6-CD3AD7824163}</author>
  </authors>
  <commentList>
    <comment ref="E107" authorId="0" shapeId="0" xr:uid="{26171A55-DC1C-456E-A4C7-84AA67DA6B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por validar por DIGEPRES</t>
      </text>
    </comment>
    <comment ref="B111" authorId="1" shapeId="0" xr:uid="{CB1CCE45-6C50-4253-90B6-CD3AD78241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balanzas de piso y mesa</t>
      </text>
    </comment>
  </commentList>
</comments>
</file>

<file path=xl/sharedStrings.xml><?xml version="1.0" encoding="utf-8"?>
<sst xmlns="http://schemas.openxmlformats.org/spreadsheetml/2006/main" count="682" uniqueCount="433">
  <si>
    <t>CONSEJO DOMINICANO DE PESCA Y ACUICULTURA</t>
  </si>
  <si>
    <t>(Valores en RD$)</t>
  </si>
  <si>
    <t>Fondo 100</t>
  </si>
  <si>
    <t xml:space="preserve">Objeto/Cta./Sub-Cuenta </t>
  </si>
  <si>
    <t xml:space="preserve">Descripción </t>
  </si>
  <si>
    <t>Modificaciones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</si>
  <si>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</si>
  <si>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</si>
  <si>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</si>
  <si>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</si>
  <si>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</si>
  <si>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</si>
  <si>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</si>
  <si>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</si>
  <si>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</si>
  <si>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</si>
  <si>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</si>
  <si>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</si>
  <si>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</si>
  <si>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 xml:space="preserve">Remuneraciones y contribuciones </t>
  </si>
  <si>
    <t>2.1.1</t>
  </si>
  <si>
    <t xml:space="preserve">Remuneraciones </t>
  </si>
  <si>
    <t>2.1.1.1.01</t>
  </si>
  <si>
    <t>Sueldos empleados fijos</t>
  </si>
  <si>
    <t>2.1.1.2.11</t>
  </si>
  <si>
    <t>Interinato (fijo en cargos de carrera)</t>
  </si>
  <si>
    <t>2.1.1.3.01</t>
  </si>
  <si>
    <t>Sueldos al personal fijo en tramite de pensión</t>
  </si>
  <si>
    <t>2.1.1.4.01</t>
  </si>
  <si>
    <t>Sueldo anual no. 13</t>
  </si>
  <si>
    <t>2.1.1.5.03</t>
  </si>
  <si>
    <t>Prestaciones laborales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</si>
  <si>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</si>
  <si>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</si>
  <si>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</si>
  <si>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</si>
  <si>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</si>
  <si>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</si>
  <si>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</si>
  <si>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</si>
  <si>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</si>
  <si>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</si>
  <si>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2.1.3</t>
  </si>
  <si>
    <t>Gastos de Representación</t>
  </si>
  <si>
    <t>2.1.3.2.01</t>
  </si>
  <si>
    <t>Gastos de representación en el país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</si>
  <si>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</si>
  <si>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</si>
  <si>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</si>
  <si>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</si>
  <si>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</si>
  <si>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</si>
  <si>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</si>
  <si>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</si>
  <si>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>Contratación de Servicios</t>
  </si>
  <si>
    <t>2.2.1</t>
  </si>
  <si>
    <t xml:space="preserve">Servicios Básicos- </t>
  </si>
  <si>
    <t>2.2.1.3.01</t>
  </si>
  <si>
    <t xml:space="preserve">Teléfono  local </t>
  </si>
  <si>
    <t>2.2.1.5.01</t>
  </si>
  <si>
    <t xml:space="preserve">Servicios de internet y televisión por cable </t>
  </si>
  <si>
    <t>2.2.1.6.01</t>
  </si>
  <si>
    <t>Energía eléctrica</t>
  </si>
  <si>
    <t>2.2.1.7.01</t>
  </si>
  <si>
    <t xml:space="preserve">Agua </t>
  </si>
  <si>
    <t>2.2.2</t>
  </si>
  <si>
    <t>Publicidad, Impresión y Encuadernación</t>
  </si>
  <si>
    <t>2.2.2.1.01</t>
  </si>
  <si>
    <t xml:space="preserve">Publicidad y propaganda </t>
  </si>
  <si>
    <t>2.2.2.2.01</t>
  </si>
  <si>
    <t>Impresión, encuadernación y rotulación</t>
  </si>
  <si>
    <t>2.2.3</t>
  </si>
  <si>
    <t xml:space="preserve">Viáticos 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</si>
  <si>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</si>
  <si>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</si>
  <si>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</si>
  <si>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</si>
  <si>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</si>
  <si>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</si>
  <si>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</si>
  <si>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</si>
  <si>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2.2.4.2.01</t>
  </si>
  <si>
    <t>2.2.5</t>
  </si>
  <si>
    <t xml:space="preserve">Alquileres de  Rentas </t>
  </si>
  <si>
    <t>2.2.5.1.01</t>
  </si>
  <si>
    <t xml:space="preserve">Alquileres y rentas de edificios y locales </t>
  </si>
  <si>
    <t>2.2.5.3.04</t>
  </si>
  <si>
    <t>2.2.5.4.01</t>
  </si>
  <si>
    <t>2.2.5.8.01</t>
  </si>
  <si>
    <t>2.2.7</t>
  </si>
  <si>
    <t xml:space="preserve">Servicios de Conservación , Reparaciones Menores  e Instalaciones Temporales </t>
  </si>
  <si>
    <t>2.2.7.1.01</t>
  </si>
  <si>
    <t xml:space="preserve">Reparaciones y mantenimiento menores en edificaciones </t>
  </si>
  <si>
    <t>2.2.7.1.06</t>
  </si>
  <si>
    <t>Mantenimiento y reparación de Instalaciones eléctricas</t>
  </si>
  <si>
    <t>2.2.7.1.07</t>
  </si>
  <si>
    <t xml:space="preserve">Mantenimiento y reparación servicios de pintura y derivados </t>
  </si>
  <si>
    <t>2.2.7.2.01</t>
  </si>
  <si>
    <t xml:space="preserve">Mantenimiento  y reparación  de muebles y equipos de oficina  </t>
  </si>
  <si>
    <t>2.2.7.2.05</t>
  </si>
  <si>
    <t>Mantenimiento y reparación de equipo de comunicación</t>
  </si>
  <si>
    <t>2.2.7.2.06</t>
  </si>
  <si>
    <t>Mantenimiento  y reparación  de equipos de transporte, tracción</t>
  </si>
  <si>
    <t>2.2.7.2.08</t>
  </si>
  <si>
    <t>Servicios de mantenimiento, reparación, desmonte e instalación</t>
  </si>
  <si>
    <t>2.2.8</t>
  </si>
  <si>
    <t>Otros servicios no incluidos en conceptos anteriores</t>
  </si>
  <si>
    <t>2.2.8.4.01</t>
  </si>
  <si>
    <t>Servicios funerarios y gastos conexos</t>
  </si>
  <si>
    <t>2.2.8.5.01</t>
  </si>
  <si>
    <t>Fumigación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</si>
  <si>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</si>
  <si>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</si>
  <si>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</si>
  <si>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</si>
  <si>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</si>
  <si>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</si>
  <si>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2.2.8.7.05</t>
  </si>
  <si>
    <t>Servicios de informática y sistemas computarizados</t>
  </si>
  <si>
    <t>2.2.8.7.06</t>
  </si>
  <si>
    <t>Otros servicios técnicos profesionales</t>
  </si>
  <si>
    <t>2.2.9</t>
  </si>
  <si>
    <t>Otras Contrataciones de Servicios</t>
  </si>
  <si>
    <t>2.2.9.1.01</t>
  </si>
  <si>
    <t>Otras contrataciones de servicios</t>
  </si>
  <si>
    <t>2.2.9.2.03</t>
  </si>
  <si>
    <t>Servicios de catering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</si>
  <si>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</si>
  <si>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</si>
  <si>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</si>
  <si>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</si>
  <si>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</si>
  <si>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</si>
  <si>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</si>
  <si>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</si>
  <si>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</si>
  <si>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2.3.2</t>
  </si>
  <si>
    <t xml:space="preserve">Textiles y Vestuarios 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</si>
  <si>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</si>
  <si>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</si>
  <si>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</si>
  <si>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</si>
  <si>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</si>
  <si>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</si>
  <si>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</si>
  <si>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Productos de Papel, Cartón de Impresos </t>
  </si>
  <si>
    <t>2.3.3.1.01</t>
  </si>
  <si>
    <t>Papel de escritorio</t>
  </si>
  <si>
    <t>2.3.3.2.01</t>
  </si>
  <si>
    <t>Productos de papel y cartón</t>
  </si>
  <si>
    <t>2.3.3.3.01</t>
  </si>
  <si>
    <t>Productos de artes graficas</t>
  </si>
  <si>
    <t>2.3.3.4.01</t>
  </si>
  <si>
    <t>Libros,  revistas y periódicos</t>
  </si>
  <si>
    <t>2.3.5</t>
  </si>
  <si>
    <t>Productos de Cuero, Caucho y Plásticos</t>
  </si>
  <si>
    <t>2.3.5.3.01</t>
  </si>
  <si>
    <t>Llantas y neumáticos</t>
  </si>
  <si>
    <t>2.3.6</t>
  </si>
  <si>
    <t>Productos de Minería Metálicos y No Metálicos</t>
  </si>
  <si>
    <t>2.3.6.3.04</t>
  </si>
  <si>
    <t>Herramientas menores</t>
  </si>
  <si>
    <t>2.3.6.3.06</t>
  </si>
  <si>
    <t>Productos metálicos</t>
  </si>
  <si>
    <t>2.3.7</t>
  </si>
  <si>
    <t xml:space="preserve">Combustibles, Lubricantes, Productos químicos y Conexos </t>
  </si>
  <si>
    <t>2.3.7.1.01</t>
  </si>
  <si>
    <t xml:space="preserve">Gasolina </t>
  </si>
  <si>
    <t>2.3.7.1.02</t>
  </si>
  <si>
    <t>Gas-oíl</t>
  </si>
  <si>
    <t>2.3.7.2.06</t>
  </si>
  <si>
    <t xml:space="preserve">Pinturas, lacas, barnices, diluyentes y absorbentes para pinturas </t>
  </si>
  <si>
    <t>2.3.7.2.99</t>
  </si>
  <si>
    <t>Otros productos químicos y conexos</t>
  </si>
  <si>
    <t>2.3.9</t>
  </si>
  <si>
    <t>Productos y Útiles Varios</t>
  </si>
  <si>
    <t>2.3.9.1.01</t>
  </si>
  <si>
    <t>Útiles y material de limpieza e higiene</t>
  </si>
  <si>
    <t>2.3.9.1.02</t>
  </si>
  <si>
    <t>Material de limpieza e higiene personal</t>
  </si>
  <si>
    <t>2.3.9.2.01</t>
  </si>
  <si>
    <t xml:space="preserve">Útiles y materiales de escritorio, oficina e informática  </t>
  </si>
  <si>
    <t>2.3.9.3.01</t>
  </si>
  <si>
    <t>Útiles menores médico quirúrgicos y de laboratorio</t>
  </si>
  <si>
    <t>2.3.9.4.01</t>
  </si>
  <si>
    <t>Útiles destinados a actividades deportivas, culturales y recreativas</t>
  </si>
  <si>
    <t>2.3.9.5.01</t>
  </si>
  <si>
    <t xml:space="preserve">Útiles de cocina y comedor </t>
  </si>
  <si>
    <t>2.3.9.6.01</t>
  </si>
  <si>
    <t xml:space="preserve">Productos eléctricos y afines </t>
  </si>
  <si>
    <t>2.3.9.8.01</t>
  </si>
  <si>
    <t>Repuestos</t>
  </si>
  <si>
    <t>2.3.9.8.02</t>
  </si>
  <si>
    <t>Accesorios</t>
  </si>
  <si>
    <t>2.3.9.9.01</t>
  </si>
  <si>
    <t>Productos y útiles varios  N. I . P.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</si>
  <si>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</si>
  <si>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</si>
  <si>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</si>
  <si>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</si>
  <si>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</si>
  <si>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2.4.7</t>
  </si>
  <si>
    <t>Transferencias corrientes al sector externo</t>
  </si>
  <si>
    <t>2.4.7.2.01</t>
  </si>
  <si>
    <t>Transferencias corrientes a organismos internacionales</t>
  </si>
  <si>
    <t xml:space="preserve">Bienes Muebles,  Inmuebles e Intangibles </t>
  </si>
  <si>
    <t>2.6.1</t>
  </si>
  <si>
    <t>Maquinaria y Equipo</t>
  </si>
  <si>
    <t>2.6.1.1.01</t>
  </si>
  <si>
    <t xml:space="preserve">Muebles, Equipos de Oficina y Estantería </t>
  </si>
  <si>
    <t>2.6.1.3.01</t>
  </si>
  <si>
    <t>2.6.1.4.01</t>
  </si>
  <si>
    <t>Electrodoméstico</t>
  </si>
  <si>
    <t>2.6.2.1.01</t>
  </si>
  <si>
    <t>Equipos y aparatos audiovisuales</t>
  </si>
  <si>
    <t>2.6.2.3.01</t>
  </si>
  <si>
    <t>Cámara fotográficas de video</t>
  </si>
  <si>
    <t>2.6.3</t>
  </si>
  <si>
    <t>Equipo e instrumental, científica y laboratorio</t>
  </si>
  <si>
    <t>2.6.4</t>
  </si>
  <si>
    <t>Vehículos y Equipo de Transporte</t>
  </si>
  <si>
    <t>2.6.4.1.01</t>
  </si>
  <si>
    <t>Automóviles y Camiones</t>
  </si>
  <si>
    <t>2.6.5</t>
  </si>
  <si>
    <t>Maquinarias, otros equipos y herramientas</t>
  </si>
  <si>
    <t>2.6.5.5.01</t>
  </si>
  <si>
    <t>Equipo de comunicación, telecomunicaciones y señalamiento</t>
  </si>
  <si>
    <t>2.6.5.6.01</t>
  </si>
  <si>
    <t>Equipos de generación eléctricas y a fines</t>
  </si>
  <si>
    <t>2.6.5.8.01</t>
  </si>
  <si>
    <t>Otros equipos</t>
  </si>
  <si>
    <t>2.6.7</t>
  </si>
  <si>
    <t>2.6.7.5.01</t>
  </si>
  <si>
    <t>Peces y Acuicultura</t>
  </si>
  <si>
    <t>2.6.8</t>
  </si>
  <si>
    <t>Programas de informática</t>
  </si>
  <si>
    <t>2.6.8.3.01</t>
  </si>
  <si>
    <t>Total General Presupuestado</t>
  </si>
  <si>
    <t>Fuente: SIGEF , Etapa del gasto: Devengado</t>
  </si>
  <si>
    <t>Datos y montos preliminares están sujetos a cambio.</t>
  </si>
  <si>
    <t>Preparado por:  Melba Peña</t>
  </si>
  <si>
    <t>Enc. de Presupuesto</t>
  </si>
  <si>
    <t>Fondo 102</t>
  </si>
  <si>
    <t xml:space="preserve">Remuneraciones y Contribuciones </t>
  </si>
  <si>
    <t>Remuneraciones</t>
  </si>
  <si>
    <t>2.1.1.2.05</t>
  </si>
  <si>
    <t>Periodo probatorio de ingreso a carrera</t>
  </si>
  <si>
    <t>2.1.1.2.08</t>
  </si>
  <si>
    <t>Empleados temporales</t>
  </si>
  <si>
    <t>2.1.1.2.09</t>
  </si>
  <si>
    <t>Personal de carácter eventual</t>
  </si>
  <si>
    <t>Sueldo anual No. 13</t>
  </si>
  <si>
    <t>Prestación laboral por desvinculación</t>
  </si>
  <si>
    <t>2.1.2.2.05</t>
  </si>
  <si>
    <t>Compensación por servicios de seguridad</t>
  </si>
  <si>
    <t>2.1.2.2.15</t>
  </si>
  <si>
    <t>Compensación extraordinaria anual</t>
  </si>
  <si>
    <t>Flete</t>
  </si>
  <si>
    <t>2.2.4.3.01</t>
  </si>
  <si>
    <t>Almacenaje</t>
  </si>
  <si>
    <t>2.2.4.4.01</t>
  </si>
  <si>
    <t>Peaje</t>
  </si>
  <si>
    <t>Alquiler de equipos de oficina y muebles</t>
  </si>
  <si>
    <t>Alquiler de equipo de transporte, tracción y elevación</t>
  </si>
  <si>
    <t>Otros alquileres y arrendamientos por derechos de uso</t>
  </si>
  <si>
    <t>2.2.6</t>
  </si>
  <si>
    <t xml:space="preserve">Seguros </t>
  </si>
  <si>
    <t>2.2.6.2.01</t>
  </si>
  <si>
    <t xml:space="preserve">Seguros  de bienes muebles  </t>
  </si>
  <si>
    <t>2.2.6.3.01</t>
  </si>
  <si>
    <t>Seguros de personas</t>
  </si>
  <si>
    <t>Servicios de pintura y derivados con fin de higiene y embellecimiento</t>
  </si>
  <si>
    <t>Servicios de mantenimiento, reparación desmonte e instalación</t>
  </si>
  <si>
    <t>Otros Servicios no Personales</t>
  </si>
  <si>
    <t>2.2.8.2.01</t>
  </si>
  <si>
    <t>Comisiones y gastos</t>
  </si>
  <si>
    <t>Otros servicios técnicos y profesionales</t>
  </si>
  <si>
    <t>2.2.8.8.01</t>
  </si>
  <si>
    <t>Impuestos</t>
  </si>
  <si>
    <t>2.2.9.2.01</t>
  </si>
  <si>
    <t>Servicios de alimentación</t>
  </si>
  <si>
    <t>Prendas de vestir y accesorios de vestir</t>
  </si>
  <si>
    <t>2.3.2.4.01</t>
  </si>
  <si>
    <t>Calzados</t>
  </si>
  <si>
    <t>Lubricantes</t>
  </si>
  <si>
    <t xml:space="preserve">Útiles y materiales  de escritorio, oficina e informática </t>
  </si>
  <si>
    <t>Útiles menores médicos quirúrgicos y de laboratorio</t>
  </si>
  <si>
    <t xml:space="preserve">Productos y útiles de defensa y seguridad </t>
  </si>
  <si>
    <t xml:space="preserve">2.6.1.4.01 </t>
  </si>
  <si>
    <t>Electrodomésticos</t>
  </si>
  <si>
    <t>2.6.1.9.01</t>
  </si>
  <si>
    <t>2.6.4.8.01</t>
  </si>
  <si>
    <t>Otros Equipos de transporte</t>
  </si>
  <si>
    <t>Maquinarias, Otros equipos y Herramientas</t>
  </si>
  <si>
    <t>2.6.5.4.01</t>
  </si>
  <si>
    <t>Sistema y equipos de climatización</t>
  </si>
  <si>
    <t xml:space="preserve">Otros equipos </t>
  </si>
  <si>
    <t xml:space="preserve"> Vehículos y Equipos de transporte, Tracción y Elevación </t>
  </si>
  <si>
    <t>Automóviles y camiones</t>
  </si>
  <si>
    <t>Sistemas y equipos de climatización</t>
  </si>
  <si>
    <t xml:space="preserve">Ejecución Presupuestaria </t>
  </si>
  <si>
    <t>Fondo Presupuestario 10-100</t>
  </si>
  <si>
    <t>Detalle</t>
  </si>
  <si>
    <t>Balance al Cierre</t>
  </si>
  <si>
    <t xml:space="preserve">% de Ejecución  </t>
  </si>
  <si>
    <t xml:space="preserve">2.1-Remuneraciones y Contribuciones </t>
  </si>
  <si>
    <t xml:space="preserve">2.1.1- Remuneraciones </t>
  </si>
  <si>
    <t>2.1.1-RegalÍa Pascual</t>
  </si>
  <si>
    <t>2.1.2-Incentivos y Compensaciones por desempeño</t>
  </si>
  <si>
    <t>2.1.3-Dietas y Gastos de Representación</t>
  </si>
  <si>
    <t>2.1.5 Contribución a la Seguridad Social</t>
  </si>
  <si>
    <t xml:space="preserve">2.2-Contratación de Servicios </t>
  </si>
  <si>
    <t>2.2.1-Servicios Básicos</t>
  </si>
  <si>
    <t>2.2.2-Publicidad, Impresión y Encuadernación</t>
  </si>
  <si>
    <t xml:space="preserve">2.2.3-Viáticos </t>
  </si>
  <si>
    <t>2.2.4 Transporte y Almacenaje</t>
  </si>
  <si>
    <t>2.2.5-Alquileres</t>
  </si>
  <si>
    <t>2.2.8-Otros servicios no incluidos en estos conceptos</t>
  </si>
  <si>
    <t>2.2.9 Otras contrataciones de servicios</t>
  </si>
  <si>
    <t xml:space="preserve">2.3-Materiales y Suministros </t>
  </si>
  <si>
    <t>2.3.1-Alimentos y Productos Agroforestales</t>
  </si>
  <si>
    <t>2.3.2 Textiles y Acabados</t>
  </si>
  <si>
    <t>2.3.3- Productos de Papel y Cartón</t>
  </si>
  <si>
    <t>2.3.6 Producto de Minerías y Metálicos</t>
  </si>
  <si>
    <t>2.3.7-Combustibles, Lubricantes y Productos Químicos</t>
  </si>
  <si>
    <t>2.3.9-Productos y Útiles Varios</t>
  </si>
  <si>
    <t>2.4-Transferencias corrientes</t>
  </si>
  <si>
    <t>2.4.7-Transferencias corrientes al sector externo</t>
  </si>
  <si>
    <t>2.6-Bienes Muebles, Inmuebles e Intangibles</t>
  </si>
  <si>
    <t>2.6.1 Mobiliario y Equipo</t>
  </si>
  <si>
    <t>2.6.3 Equipo e instrumental, científica y laboratorio</t>
  </si>
  <si>
    <t>2.6.5 Maquinarias, Otros equipos y Herramientas</t>
  </si>
  <si>
    <t>2.6.8 Programas de informática</t>
  </si>
  <si>
    <t>Total Gastos Fondo 100</t>
  </si>
  <si>
    <t>Realizado por:  Melba Peña</t>
  </si>
  <si>
    <t xml:space="preserve">      Encargada de Presupuesto</t>
  </si>
  <si>
    <t>Fondo Presupuestario 30-102</t>
  </si>
  <si>
    <t xml:space="preserve">2.1-Renumeraciones y Contribuciones </t>
  </si>
  <si>
    <t>2.1.1-Regalia Pascual</t>
  </si>
  <si>
    <t>2.1.2-Sobresueldos (Compensaciones)</t>
  </si>
  <si>
    <t xml:space="preserve">2.2.3-Viáticos  </t>
  </si>
  <si>
    <t>2.2.4-Transporte y Almacenaje</t>
  </si>
  <si>
    <t>2.2.5-Alquileres y Rentas</t>
  </si>
  <si>
    <t>2.2.6-Seguros</t>
  </si>
  <si>
    <t>2.2.7-Servicios de Conservaciones, Reparaciones</t>
  </si>
  <si>
    <t>2.2.8-Otros Servicios no Incluidos en conceptos anteriores</t>
  </si>
  <si>
    <t>2.2.9 Otras Contrataciones de Servicios</t>
  </si>
  <si>
    <t>2.3.2-Textiles y Vestuarios</t>
  </si>
  <si>
    <t>2.3.3-Productos de Papel, Cartón e Impresos</t>
  </si>
  <si>
    <t>2.3.5-Productos de Cuero, Caucho y Plástico</t>
  </si>
  <si>
    <t>Total Gastos 102</t>
  </si>
  <si>
    <t>Totales Generales</t>
  </si>
  <si>
    <t xml:space="preserve">Ejecución Presupuestaria  Consolidada Fondos  100 Y 102 </t>
  </si>
  <si>
    <t>Fondo Presupuestario 10-100/30-102</t>
  </si>
  <si>
    <t>2.1.1- Remuneraciones(nóminas)</t>
  </si>
  <si>
    <t>2.1.3 Gastos de Representación</t>
  </si>
  <si>
    <t>Total RD$</t>
  </si>
  <si>
    <t>Ejecución Presupuestaria para el año 2023</t>
  </si>
  <si>
    <t>Presupuesto Vigente 2023</t>
  </si>
  <si>
    <t>Presupuesto Aprobado 2023</t>
  </si>
  <si>
    <t>Disponibilidad de Apropiación Presupuestaria 2023</t>
  </si>
  <si>
    <t>2.2.2.1.02</t>
  </si>
  <si>
    <t xml:space="preserve">Promoción y patrocinio </t>
  </si>
  <si>
    <t>2.3.5.5.01</t>
  </si>
  <si>
    <t>Plásticos</t>
  </si>
  <si>
    <t>2.3.6.2.02</t>
  </si>
  <si>
    <t>Productos de loza</t>
  </si>
  <si>
    <t>2.3.7.2.03</t>
  </si>
  <si>
    <t>Productos químicos de uso personal y de laboratorios</t>
  </si>
  <si>
    <t xml:space="preserve">Otros mobiliarios y equipos no identificados </t>
  </si>
  <si>
    <t>2.6.2</t>
  </si>
  <si>
    <t>Mobiliario y Equipo de Audio, Audiovisual, Recreativo y Educacional</t>
  </si>
  <si>
    <t>2.6.3.1.01</t>
  </si>
  <si>
    <t>Equipos medicos y de laboratorio</t>
  </si>
  <si>
    <t>2.6.5.2.01</t>
  </si>
  <si>
    <t>Maquinaria y equipo industrial</t>
  </si>
  <si>
    <t>2.6.2 Mobiliario y Equipo de Audio, Audiovisual, Recreativo y Educacional</t>
  </si>
  <si>
    <t>2.2.7-Servicios de Conservaciones, Reparaciones menores e instalaciones temporales</t>
  </si>
  <si>
    <t>2.6.5.2.02</t>
  </si>
  <si>
    <t>2.2.5.9.01</t>
  </si>
  <si>
    <t>Alquiler de equipo de oficina y muebles</t>
  </si>
  <si>
    <t>Alquileres de equipos de transporte, tracción y elevación</t>
  </si>
  <si>
    <t>Licencias Informáticas</t>
  </si>
  <si>
    <t>2.6.4.2.01</t>
  </si>
  <si>
    <t>Vehículos y equipos de transporte, tracción y elevación</t>
  </si>
  <si>
    <t>Carrocerías y remolques</t>
  </si>
  <si>
    <t>2.6.5.7.01</t>
  </si>
  <si>
    <t>Máquinas-herramientas</t>
  </si>
  <si>
    <t>Transporte y almacenaje</t>
  </si>
  <si>
    <t>2.6.3.4.01</t>
  </si>
  <si>
    <t>Equipos e instrumentos de medición científica</t>
  </si>
  <si>
    <t>2.6.6</t>
  </si>
  <si>
    <t xml:space="preserve">Equipos de defensa y seguridad </t>
  </si>
  <si>
    <t>2.6.6.2.01</t>
  </si>
  <si>
    <t>Equipos de seguridad</t>
  </si>
  <si>
    <t>Activos biológicos</t>
  </si>
  <si>
    <t>Peces y acuicultura</t>
  </si>
  <si>
    <t>Incentivo por rendimiento individual</t>
  </si>
  <si>
    <t>Mantenimiento y reparación de mobiliarios y equipos de oficina</t>
  </si>
  <si>
    <t>2.2.8.7.04</t>
  </si>
  <si>
    <t>Servicios de capacitación</t>
  </si>
  <si>
    <t>2.6.4 Vehículos y equipos de transporte, tracción y elevación</t>
  </si>
  <si>
    <t>2.6.6 Equipos de defensa y seguridad</t>
  </si>
  <si>
    <t>2.6.7 Activos biológicos</t>
  </si>
  <si>
    <t>2.2.9-Otras Contrataciones de Servicios</t>
  </si>
  <si>
    <t xml:space="preserve">2.6.4  Vehículos y Equipos de transporte, Tracción y Elevación </t>
  </si>
  <si>
    <t>2.3.9.2.02</t>
  </si>
  <si>
    <t>Útiles y materiales escolares y de enseñanzas</t>
  </si>
  <si>
    <t>Reparaciones y mantenimientos menores en edificaciones</t>
  </si>
  <si>
    <t xml:space="preserve">Productos de Minerales, Metálicos y No Metálicos </t>
  </si>
  <si>
    <t>Equipos y Aparatos Audiovisuales</t>
  </si>
  <si>
    <t>2.2.8.5.02</t>
  </si>
  <si>
    <t>Lavandería</t>
  </si>
  <si>
    <t>2.2.7.2.02</t>
  </si>
  <si>
    <t>Mantenimiento y reparación de equipos tecnología e información</t>
  </si>
  <si>
    <t>2.2.8.7.01</t>
  </si>
  <si>
    <t>Servicios técnicos y profesionales</t>
  </si>
  <si>
    <t>2.6.5.4.02</t>
  </si>
  <si>
    <t>Equipos de climatización</t>
  </si>
  <si>
    <t>2.3.6 Productos de Minerales, Metálicos y No Metálicos</t>
  </si>
  <si>
    <t>Interinato</t>
  </si>
  <si>
    <t>2.2.8.3.01</t>
  </si>
  <si>
    <t>Servicios sanitarios médicos y veterinarios</t>
  </si>
  <si>
    <t>Equipos de tecnología de la información y comunicación</t>
  </si>
  <si>
    <t>2.3.7.1.05</t>
  </si>
  <si>
    <t>Aceites y grasas</t>
  </si>
  <si>
    <t>2,3.7.1.06</t>
  </si>
  <si>
    <t>Al 31 de agosto 2023</t>
  </si>
  <si>
    <t xml:space="preserve">2.6.6 Equipos de defensa y seguridad </t>
  </si>
  <si>
    <t xml:space="preserve">2.3.2-Textiles y Vestuarios </t>
  </si>
  <si>
    <t>versión 01/09/2023</t>
  </si>
  <si>
    <t xml:space="preserve">Maquinaria y equipos para el tratamiento y suministro de agua 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</si>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</sst>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_-;\-* #,##0.00_-;_-* &quot;-&quot;??_-;_-@"/>
    <numFmt numFmtId="166" formatCode="0.0%"/>
  </numFmts>
  <fonts count="3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1"/>
      <name val="Arial Narrow"/>
      <family val="2"/>
    </font>
    <font>
      <b/>
      <sz val="9"/>
      <color theme="1"/>
      <name val="Calibri"/>
      <family val="2"/>
    </font>
    <font>
      <b/>
      <sz val="18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434343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Arial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6"/>
      <color rgb="FF000000"/>
      <name val="Arial"/>
      <family val="2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39997558519241921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4" tint="0.79998168889431442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theme="4" tint="0.79998168889431442"/>
        <bgColor rgb="FF6D9EEB"/>
      </patternFill>
    </fill>
    <fill>
      <patternFill patternType="solid">
        <fgColor theme="6" tint="0.79998168889431442"/>
        <bgColor rgb="FF93C47D"/>
      </patternFill>
    </fill>
    <fill>
      <patternFill patternType="solid">
        <fgColor theme="0"/>
        <bgColor rgb="FF93C47D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5">
    <xf numFmtId="0" fontId="0" fillId="0" borderId="0" xfId="0"/>
    <xf numFmtId="43" fontId="3" fillId="0" borderId="0" xfId="0" applyNumberFormat="1" applyFont="1"/>
    <xf numFmtId="0" fontId="5" fillId="0" borderId="0" xfId="0" applyFont="1"/>
    <xf numFmtId="0" fontId="6" fillId="0" borderId="0" xfId="0" applyFont="1"/>
    <xf numFmtId="43" fontId="9" fillId="0" borderId="0" xfId="0" applyNumberFormat="1" applyFont="1"/>
    <xf numFmtId="0" fontId="9" fillId="3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0" fontId="9" fillId="4" borderId="5" xfId="0" applyNumberFormat="1" applyFont="1" applyFill="1" applyBorder="1"/>
    <xf numFmtId="40" fontId="9" fillId="4" borderId="6" xfId="0" applyNumberFormat="1" applyFont="1" applyFill="1" applyBorder="1"/>
    <xf numFmtId="43" fontId="11" fillId="2" borderId="0" xfId="0" applyNumberFormat="1" applyFont="1" applyFill="1"/>
    <xf numFmtId="0" fontId="11" fillId="2" borderId="0" xfId="0" applyFont="1" applyFill="1"/>
    <xf numFmtId="0" fontId="12" fillId="6" borderId="4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left"/>
    </xf>
    <xf numFmtId="40" fontId="9" fillId="6" borderId="5" xfId="0" applyNumberFormat="1" applyFont="1" applyFill="1" applyBorder="1"/>
    <xf numFmtId="164" fontId="11" fillId="7" borderId="0" xfId="0" applyNumberFormat="1" applyFont="1" applyFill="1"/>
    <xf numFmtId="0" fontId="11" fillId="7" borderId="0" xfId="0" applyFont="1" applyFill="1"/>
    <xf numFmtId="0" fontId="12" fillId="0" borderId="4" xfId="0" applyFont="1" applyBorder="1" applyAlignment="1">
      <alignment horizontal="left"/>
    </xf>
    <xf numFmtId="0" fontId="12" fillId="0" borderId="5" xfId="0" applyFont="1" applyBorder="1"/>
    <xf numFmtId="43" fontId="11" fillId="2" borderId="5" xfId="0" applyNumberFormat="1" applyFont="1" applyFill="1" applyBorder="1"/>
    <xf numFmtId="43" fontId="11" fillId="7" borderId="5" xfId="0" applyNumberFormat="1" applyFont="1" applyFill="1" applyBorder="1"/>
    <xf numFmtId="43" fontId="11" fillId="7" borderId="5" xfId="0" applyNumberFormat="1" applyFont="1" applyFill="1" applyBorder="1" applyAlignment="1">
      <alignment horizontal="right"/>
    </xf>
    <xf numFmtId="43" fontId="11" fillId="0" borderId="5" xfId="0" applyNumberFormat="1" applyFont="1" applyBorder="1" applyAlignment="1">
      <alignment horizontal="right" vertical="center"/>
    </xf>
    <xf numFmtId="43" fontId="11" fillId="0" borderId="5" xfId="0" applyNumberFormat="1" applyFont="1" applyBorder="1" applyAlignment="1">
      <alignment vertical="center"/>
    </xf>
    <xf numFmtId="43" fontId="11" fillId="0" borderId="6" xfId="0" applyNumberFormat="1" applyFont="1" applyBorder="1" applyAlignment="1">
      <alignment vertical="center"/>
    </xf>
    <xf numFmtId="164" fontId="11" fillId="2" borderId="0" xfId="1" applyFont="1" applyFill="1" applyBorder="1"/>
    <xf numFmtId="164" fontId="0" fillId="0" borderId="0" xfId="1" applyFont="1" applyAlignment="1"/>
    <xf numFmtId="43" fontId="11" fillId="0" borderId="5" xfId="0" applyNumberFormat="1" applyFont="1" applyBorder="1"/>
    <xf numFmtId="0" fontId="11" fillId="2" borderId="5" xfId="0" applyFont="1" applyFill="1" applyBorder="1"/>
    <xf numFmtId="164" fontId="11" fillId="2" borderId="5" xfId="1" applyFont="1" applyFill="1" applyBorder="1"/>
    <xf numFmtId="164" fontId="11" fillId="2" borderId="5" xfId="1" applyFont="1" applyFill="1" applyBorder="1" applyAlignment="1">
      <alignment horizontal="right"/>
    </xf>
    <xf numFmtId="164" fontId="11" fillId="7" borderId="0" xfId="1" applyFont="1" applyFill="1" applyBorder="1"/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/>
    <xf numFmtId="40" fontId="11" fillId="2" borderId="5" xfId="0" applyNumberFormat="1" applyFont="1" applyFill="1" applyBorder="1"/>
    <xf numFmtId="40" fontId="9" fillId="2" borderId="5" xfId="0" applyNumberFormat="1" applyFont="1" applyFill="1" applyBorder="1"/>
    <xf numFmtId="43" fontId="11" fillId="2" borderId="6" xfId="0" applyNumberFormat="1" applyFont="1" applyFill="1" applyBorder="1"/>
    <xf numFmtId="0" fontId="12" fillId="2" borderId="5" xfId="0" applyFont="1" applyFill="1" applyBorder="1" applyAlignment="1">
      <alignment wrapText="1"/>
    </xf>
    <xf numFmtId="43" fontId="9" fillId="6" borderId="5" xfId="0" applyNumberFormat="1" applyFont="1" applyFill="1" applyBorder="1"/>
    <xf numFmtId="0" fontId="12" fillId="7" borderId="4" xfId="0" applyFont="1" applyFill="1" applyBorder="1" applyAlignment="1">
      <alignment horizontal="left"/>
    </xf>
    <xf numFmtId="0" fontId="12" fillId="7" borderId="5" xfId="0" applyFont="1" applyFill="1" applyBorder="1"/>
    <xf numFmtId="40" fontId="11" fillId="7" borderId="5" xfId="0" applyNumberFormat="1" applyFont="1" applyFill="1" applyBorder="1"/>
    <xf numFmtId="40" fontId="11" fillId="7" borderId="6" xfId="0" applyNumberFormat="1" applyFont="1" applyFill="1" applyBorder="1"/>
    <xf numFmtId="43" fontId="11" fillId="8" borderId="5" xfId="0" applyNumberFormat="1" applyFont="1" applyFill="1" applyBorder="1"/>
    <xf numFmtId="164" fontId="9" fillId="2" borderId="0" xfId="0" applyNumberFormat="1" applyFont="1" applyFill="1"/>
    <xf numFmtId="0" fontId="12" fillId="0" borderId="7" xfId="0" applyFont="1" applyBorder="1"/>
    <xf numFmtId="0" fontId="13" fillId="9" borderId="4" xfId="0" applyFont="1" applyFill="1" applyBorder="1" applyAlignment="1">
      <alignment horizontal="left"/>
    </xf>
    <xf numFmtId="0" fontId="13" fillId="9" borderId="5" xfId="0" applyFont="1" applyFill="1" applyBorder="1"/>
    <xf numFmtId="40" fontId="13" fillId="9" borderId="5" xfId="0" applyNumberFormat="1" applyFont="1" applyFill="1" applyBorder="1"/>
    <xf numFmtId="0" fontId="14" fillId="6" borderId="4" xfId="0" applyFont="1" applyFill="1" applyBorder="1" applyAlignment="1">
      <alignment horizontal="left"/>
    </xf>
    <xf numFmtId="0" fontId="12" fillId="6" borderId="5" xfId="0" applyFont="1" applyFill="1" applyBorder="1"/>
    <xf numFmtId="40" fontId="12" fillId="6" borderId="5" xfId="0" applyNumberFormat="1" applyFont="1" applyFill="1" applyBorder="1"/>
    <xf numFmtId="40" fontId="12" fillId="6" borderId="6" xfId="0" applyNumberFormat="1" applyFont="1" applyFill="1" applyBorder="1"/>
    <xf numFmtId="39" fontId="14" fillId="2" borderId="5" xfId="0" applyNumberFormat="1" applyFont="1" applyFill="1" applyBorder="1"/>
    <xf numFmtId="40" fontId="9" fillId="7" borderId="5" xfId="0" applyNumberFormat="1" applyFont="1" applyFill="1" applyBorder="1"/>
    <xf numFmtId="43" fontId="11" fillId="6" borderId="5" xfId="0" applyNumberFormat="1" applyFont="1" applyFill="1" applyBorder="1"/>
    <xf numFmtId="43" fontId="11" fillId="6" borderId="6" xfId="0" applyNumberFormat="1" applyFont="1" applyFill="1" applyBorder="1"/>
    <xf numFmtId="43" fontId="11" fillId="0" borderId="6" xfId="0" applyNumberFormat="1" applyFont="1" applyBorder="1"/>
    <xf numFmtId="0" fontId="11" fillId="0" borderId="0" xfId="0" applyFont="1"/>
    <xf numFmtId="0" fontId="11" fillId="6" borderId="4" xfId="0" applyFont="1" applyFill="1" applyBorder="1" applyAlignment="1">
      <alignment horizontal="left"/>
    </xf>
    <xf numFmtId="4" fontId="11" fillId="7" borderId="5" xfId="0" applyNumberFormat="1" applyFont="1" applyFill="1" applyBorder="1"/>
    <xf numFmtId="43" fontId="12" fillId="2" borderId="5" xfId="0" applyNumberFormat="1" applyFont="1" applyFill="1" applyBorder="1" applyAlignment="1">
      <alignment horizontal="center"/>
    </xf>
    <xf numFmtId="4" fontId="11" fillId="2" borderId="5" xfId="0" applyNumberFormat="1" applyFont="1" applyFill="1" applyBorder="1"/>
    <xf numFmtId="40" fontId="11" fillId="2" borderId="6" xfId="0" applyNumberFormat="1" applyFont="1" applyFill="1" applyBorder="1"/>
    <xf numFmtId="0" fontId="12" fillId="0" borderId="5" xfId="0" applyFont="1" applyBorder="1" applyAlignment="1">
      <alignment wrapText="1"/>
    </xf>
    <xf numFmtId="0" fontId="11" fillId="0" borderId="5" xfId="0" applyFont="1" applyBorder="1"/>
    <xf numFmtId="0" fontId="12" fillId="6" borderId="5" xfId="0" applyFont="1" applyFill="1" applyBorder="1" applyAlignment="1">
      <alignment wrapText="1"/>
    </xf>
    <xf numFmtId="43" fontId="11" fillId="10" borderId="5" xfId="0" applyNumberFormat="1" applyFont="1" applyFill="1" applyBorder="1"/>
    <xf numFmtId="40" fontId="12" fillId="7" borderId="5" xfId="0" applyNumberFormat="1" applyFont="1" applyFill="1" applyBorder="1"/>
    <xf numFmtId="4" fontId="11" fillId="0" borderId="5" xfId="0" applyNumberFormat="1" applyFont="1" applyBorder="1"/>
    <xf numFmtId="164" fontId="11" fillId="0" borderId="5" xfId="1" applyFont="1" applyBorder="1"/>
    <xf numFmtId="40" fontId="11" fillId="0" borderId="6" xfId="0" applyNumberFormat="1" applyFont="1" applyBorder="1"/>
    <xf numFmtId="0" fontId="11" fillId="0" borderId="5" xfId="0" applyFont="1" applyBorder="1" applyAlignment="1">
      <alignment wrapText="1"/>
    </xf>
    <xf numFmtId="40" fontId="11" fillId="6" borderId="5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12" fillId="11" borderId="5" xfId="0" applyFont="1" applyFill="1" applyBorder="1" applyAlignment="1">
      <alignment wrapText="1"/>
    </xf>
    <xf numFmtId="40" fontId="11" fillId="11" borderId="5" xfId="0" applyNumberFormat="1" applyFont="1" applyFill="1" applyBorder="1"/>
    <xf numFmtId="39" fontId="11" fillId="11" borderId="5" xfId="0" applyNumberFormat="1" applyFont="1" applyFill="1" applyBorder="1"/>
    <xf numFmtId="40" fontId="11" fillId="11" borderId="6" xfId="0" applyNumberFormat="1" applyFont="1" applyFill="1" applyBorder="1"/>
    <xf numFmtId="0" fontId="0" fillId="12" borderId="0" xfId="0" applyFill="1"/>
    <xf numFmtId="0" fontId="12" fillId="0" borderId="0" xfId="0" applyFont="1"/>
    <xf numFmtId="40" fontId="15" fillId="7" borderId="5" xfId="0" applyNumberFormat="1" applyFont="1" applyFill="1" applyBorder="1"/>
    <xf numFmtId="0" fontId="13" fillId="4" borderId="4" xfId="0" applyFont="1" applyFill="1" applyBorder="1" applyAlignment="1">
      <alignment horizontal="left"/>
    </xf>
    <xf numFmtId="0" fontId="13" fillId="4" borderId="5" xfId="0" applyFont="1" applyFill="1" applyBorder="1"/>
    <xf numFmtId="40" fontId="13" fillId="4" borderId="5" xfId="0" applyNumberFormat="1" applyFont="1" applyFill="1" applyBorder="1"/>
    <xf numFmtId="43" fontId="9" fillId="3" borderId="5" xfId="0" applyNumberFormat="1" applyFont="1" applyFill="1" applyBorder="1"/>
    <xf numFmtId="40" fontId="13" fillId="4" borderId="6" xfId="0" applyNumberFormat="1" applyFont="1" applyFill="1" applyBorder="1"/>
    <xf numFmtId="0" fontId="12" fillId="11" borderId="5" xfId="0" applyFont="1" applyFill="1" applyBorder="1"/>
    <xf numFmtId="40" fontId="9" fillId="11" borderId="5" xfId="0" applyNumberFormat="1" applyFont="1" applyFill="1" applyBorder="1"/>
    <xf numFmtId="43" fontId="11" fillId="12" borderId="5" xfId="0" applyNumberFormat="1" applyFont="1" applyFill="1" applyBorder="1"/>
    <xf numFmtId="0" fontId="11" fillId="12" borderId="0" xfId="0" applyFont="1" applyFill="1"/>
    <xf numFmtId="40" fontId="11" fillId="0" borderId="5" xfId="0" applyNumberFormat="1" applyFont="1" applyBorder="1"/>
    <xf numFmtId="40" fontId="9" fillId="0" borderId="5" xfId="0" applyNumberFormat="1" applyFont="1" applyBorder="1"/>
    <xf numFmtId="164" fontId="11" fillId="2" borderId="5" xfId="1" applyFont="1" applyFill="1" applyBorder="1" applyAlignment="1"/>
    <xf numFmtId="43" fontId="12" fillId="2" borderId="5" xfId="0" applyNumberFormat="1" applyFont="1" applyFill="1" applyBorder="1"/>
    <xf numFmtId="43" fontId="14" fillId="2" borderId="5" xfId="0" applyNumberFormat="1" applyFont="1" applyFill="1" applyBorder="1"/>
    <xf numFmtId="43" fontId="16" fillId="2" borderId="5" xfId="0" applyNumberFormat="1" applyFont="1" applyFill="1" applyBorder="1"/>
    <xf numFmtId="43" fontId="12" fillId="0" borderId="5" xfId="0" applyNumberFormat="1" applyFont="1" applyBorder="1"/>
    <xf numFmtId="43" fontId="12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/>
    </xf>
    <xf numFmtId="164" fontId="12" fillId="0" borderId="5" xfId="1" applyFont="1" applyBorder="1" applyAlignment="1">
      <alignment horizontal="center"/>
    </xf>
    <xf numFmtId="164" fontId="12" fillId="0" borderId="5" xfId="1" applyFont="1" applyBorder="1" applyAlignment="1">
      <alignment wrapText="1"/>
    </xf>
    <xf numFmtId="40" fontId="11" fillId="2" borderId="0" xfId="0" applyNumberFormat="1" applyFont="1" applyFill="1"/>
    <xf numFmtId="43" fontId="12" fillId="0" borderId="6" xfId="0" applyNumberFormat="1" applyFont="1" applyBorder="1"/>
    <xf numFmtId="0" fontId="12" fillId="0" borderId="0" xfId="0" applyFont="1" applyAlignment="1">
      <alignment wrapText="1"/>
    </xf>
    <xf numFmtId="43" fontId="9" fillId="0" borderId="5" xfId="0" applyNumberFormat="1" applyFont="1" applyBorder="1"/>
    <xf numFmtId="40" fontId="11" fillId="0" borderId="0" xfId="0" applyNumberFormat="1" applyFont="1"/>
    <xf numFmtId="0" fontId="13" fillId="0" borderId="4" xfId="0" applyFont="1" applyBorder="1" applyAlignment="1">
      <alignment horizontal="left"/>
    </xf>
    <xf numFmtId="0" fontId="13" fillId="0" borderId="5" xfId="0" applyFont="1" applyBorder="1"/>
    <xf numFmtId="39" fontId="14" fillId="0" borderId="5" xfId="0" applyNumberFormat="1" applyFont="1" applyBorder="1"/>
    <xf numFmtId="0" fontId="13" fillId="7" borderId="8" xfId="0" applyFont="1" applyFill="1" applyBorder="1" applyAlignment="1">
      <alignment horizontal="left"/>
    </xf>
    <xf numFmtId="0" fontId="13" fillId="7" borderId="9" xfId="0" applyFont="1" applyFill="1" applyBorder="1"/>
    <xf numFmtId="40" fontId="11" fillId="7" borderId="9" xfId="0" applyNumberFormat="1" applyFont="1" applyFill="1" applyBorder="1"/>
    <xf numFmtId="40" fontId="11" fillId="0" borderId="9" xfId="0" applyNumberFormat="1" applyFont="1" applyBorder="1"/>
    <xf numFmtId="43" fontId="11" fillId="0" borderId="10" xfId="0" applyNumberFormat="1" applyFont="1" applyBorder="1"/>
    <xf numFmtId="0" fontId="11" fillId="2" borderId="0" xfId="0" applyFont="1" applyFill="1" applyAlignment="1">
      <alignment horizontal="left" vertical="top"/>
    </xf>
    <xf numFmtId="0" fontId="13" fillId="7" borderId="0" xfId="0" applyFont="1" applyFill="1"/>
    <xf numFmtId="40" fontId="11" fillId="7" borderId="0" xfId="0" applyNumberFormat="1" applyFont="1" applyFill="1"/>
    <xf numFmtId="43" fontId="11" fillId="0" borderId="0" xfId="0" applyNumberFormat="1" applyFont="1"/>
    <xf numFmtId="0" fontId="11" fillId="13" borderId="0" xfId="0" applyFont="1" applyFill="1" applyAlignment="1">
      <alignment horizontal="left"/>
    </xf>
    <xf numFmtId="0" fontId="11" fillId="0" borderId="0" xfId="0" applyFont="1" applyAlignment="1">
      <alignment wrapText="1"/>
    </xf>
    <xf numFmtId="0" fontId="17" fillId="13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11" fillId="0" borderId="0" xfId="0" applyNumberFormat="1" applyFont="1"/>
    <xf numFmtId="0" fontId="9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Alignment="1">
      <alignment horizontal="left"/>
    </xf>
    <xf numFmtId="0" fontId="13" fillId="14" borderId="11" xfId="0" applyFont="1" applyFill="1" applyBorder="1" applyAlignment="1">
      <alignment horizontal="left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left"/>
    </xf>
    <xf numFmtId="0" fontId="13" fillId="16" borderId="15" xfId="0" applyFont="1" applyFill="1" applyBorder="1"/>
    <xf numFmtId="40" fontId="9" fillId="15" borderId="15" xfId="0" applyNumberFormat="1" applyFont="1" applyFill="1" applyBorder="1" applyAlignment="1">
      <alignment horizontal="right"/>
    </xf>
    <xf numFmtId="43" fontId="11" fillId="2" borderId="5" xfId="0" applyNumberFormat="1" applyFont="1" applyFill="1" applyBorder="1" applyAlignment="1">
      <alignment horizontal="left"/>
    </xf>
    <xf numFmtId="43" fontId="11" fillId="2" borderId="5" xfId="0" applyNumberFormat="1" applyFont="1" applyFill="1" applyBorder="1" applyAlignment="1">
      <alignment horizontal="right"/>
    </xf>
    <xf numFmtId="0" fontId="13" fillId="14" borderId="4" xfId="0" applyFont="1" applyFill="1" applyBorder="1" applyAlignment="1">
      <alignment horizontal="left"/>
    </xf>
    <xf numFmtId="0" fontId="13" fillId="14" borderId="5" xfId="0" applyFont="1" applyFill="1" applyBorder="1"/>
    <xf numFmtId="4" fontId="12" fillId="2" borderId="5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40" fontId="11" fillId="6" borderId="6" xfId="0" applyNumberFormat="1" applyFont="1" applyFill="1" applyBorder="1"/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/>
    </xf>
    <xf numFmtId="0" fontId="13" fillId="15" borderId="5" xfId="0" applyFont="1" applyFill="1" applyBorder="1"/>
    <xf numFmtId="164" fontId="14" fillId="12" borderId="5" xfId="1" applyFont="1" applyFill="1" applyBorder="1" applyAlignment="1"/>
    <xf numFmtId="0" fontId="12" fillId="10" borderId="5" xfId="0" applyFont="1" applyFill="1" applyBorder="1" applyAlignment="1">
      <alignment wrapText="1"/>
    </xf>
    <xf numFmtId="0" fontId="12" fillId="6" borderId="5" xfId="0" applyFont="1" applyFill="1" applyBorder="1" applyAlignment="1">
      <alignment horizontal="center"/>
    </xf>
    <xf numFmtId="43" fontId="12" fillId="6" borderId="5" xfId="0" applyNumberFormat="1" applyFont="1" applyFill="1" applyBorder="1" applyAlignment="1">
      <alignment wrapText="1"/>
    </xf>
    <xf numFmtId="43" fontId="12" fillId="6" borderId="5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43" fontId="12" fillId="6" borderId="6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43" fontId="12" fillId="0" borderId="9" xfId="0" applyNumberFormat="1" applyFont="1" applyBorder="1"/>
    <xf numFmtId="0" fontId="13" fillId="0" borderId="7" xfId="0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11" fillId="0" borderId="0" xfId="0" applyNumberFormat="1" applyFont="1" applyAlignment="1">
      <alignment wrapText="1"/>
    </xf>
    <xf numFmtId="40" fontId="9" fillId="0" borderId="0" xfId="0" applyNumberFormat="1" applyFont="1"/>
    <xf numFmtId="164" fontId="13" fillId="0" borderId="0" xfId="1" applyFont="1"/>
    <xf numFmtId="0" fontId="13" fillId="0" borderId="0" xfId="0" applyFont="1"/>
    <xf numFmtId="0" fontId="9" fillId="0" borderId="0" xfId="0" applyFont="1" applyAlignment="1">
      <alignment horizontal="center"/>
    </xf>
    <xf numFmtId="0" fontId="21" fillId="2" borderId="0" xfId="0" applyFont="1" applyFill="1"/>
    <xf numFmtId="0" fontId="23" fillId="2" borderId="0" xfId="0" applyFont="1" applyFill="1"/>
    <xf numFmtId="0" fontId="2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3" fontId="10" fillId="0" borderId="27" xfId="0" applyNumberFormat="1" applyFont="1" applyBorder="1" applyAlignment="1">
      <alignment horizontal="center" vertical="center" wrapText="1"/>
    </xf>
    <xf numFmtId="43" fontId="10" fillId="0" borderId="29" xfId="0" applyNumberFormat="1" applyFont="1" applyBorder="1" applyAlignment="1">
      <alignment horizontal="center" vertical="center" wrapText="1"/>
    </xf>
    <xf numFmtId="0" fontId="9" fillId="18" borderId="30" xfId="0" applyFont="1" applyFill="1" applyBorder="1"/>
    <xf numFmtId="43" fontId="9" fillId="18" borderId="31" xfId="0" applyNumberFormat="1" applyFont="1" applyFill="1" applyBorder="1"/>
    <xf numFmtId="43" fontId="9" fillId="18" borderId="32" xfId="0" applyNumberFormat="1" applyFont="1" applyFill="1" applyBorder="1" applyAlignment="1">
      <alignment horizontal="right" wrapText="1"/>
    </xf>
    <xf numFmtId="43" fontId="21" fillId="2" borderId="0" xfId="0" applyNumberFormat="1" applyFont="1" applyFill="1"/>
    <xf numFmtId="0" fontId="11" fillId="0" borderId="33" xfId="0" applyFont="1" applyBorder="1"/>
    <xf numFmtId="43" fontId="11" fillId="0" borderId="32" xfId="0" applyNumberFormat="1" applyFont="1" applyBorder="1" applyAlignment="1">
      <alignment horizontal="center" vertical="center"/>
    </xf>
    <xf numFmtId="43" fontId="11" fillId="0" borderId="32" xfId="0" applyNumberFormat="1" applyFont="1" applyBorder="1" applyAlignment="1">
      <alignment horizontal="right"/>
    </xf>
    <xf numFmtId="166" fontId="11" fillId="0" borderId="34" xfId="0" applyNumberFormat="1" applyFont="1" applyBorder="1" applyAlignment="1">
      <alignment horizontal="center" vertical="center"/>
    </xf>
    <xf numFmtId="43" fontId="11" fillId="7" borderId="32" xfId="0" applyNumberFormat="1" applyFont="1" applyFill="1" applyBorder="1" applyAlignment="1">
      <alignment horizontal="right"/>
    </xf>
    <xf numFmtId="0" fontId="9" fillId="18" borderId="35" xfId="0" applyFont="1" applyFill="1" applyBorder="1"/>
    <xf numFmtId="43" fontId="9" fillId="18" borderId="36" xfId="0" applyNumberFormat="1" applyFont="1" applyFill="1" applyBorder="1" applyAlignment="1">
      <alignment horizontal="center" vertical="center"/>
    </xf>
    <xf numFmtId="43" fontId="9" fillId="18" borderId="36" xfId="0" applyNumberFormat="1" applyFont="1" applyFill="1" applyBorder="1" applyAlignment="1">
      <alignment horizontal="right" vertical="center"/>
    </xf>
    <xf numFmtId="0" fontId="11" fillId="0" borderId="35" xfId="0" applyFont="1" applyBorder="1"/>
    <xf numFmtId="43" fontId="11" fillId="0" borderId="36" xfId="0" applyNumberFormat="1" applyFont="1" applyBorder="1"/>
    <xf numFmtId="43" fontId="11" fillId="0" borderId="36" xfId="0" applyNumberFormat="1" applyFont="1" applyBorder="1" applyAlignment="1">
      <alignment horizontal="right"/>
    </xf>
    <xf numFmtId="4" fontId="11" fillId="0" borderId="36" xfId="0" applyNumberFormat="1" applyFont="1" applyBorder="1" applyAlignment="1">
      <alignment horizontal="right" vertical="center"/>
    </xf>
    <xf numFmtId="166" fontId="11" fillId="0" borderId="37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left"/>
    </xf>
    <xf numFmtId="0" fontId="11" fillId="7" borderId="35" xfId="0" applyFont="1" applyFill="1" applyBorder="1"/>
    <xf numFmtId="43" fontId="11" fillId="7" borderId="36" xfId="0" applyNumberFormat="1" applyFont="1" applyFill="1" applyBorder="1"/>
    <xf numFmtId="43" fontId="11" fillId="7" borderId="36" xfId="0" applyNumberFormat="1" applyFont="1" applyFill="1" applyBorder="1" applyAlignment="1">
      <alignment horizontal="right"/>
    </xf>
    <xf numFmtId="0" fontId="21" fillId="7" borderId="0" xfId="0" applyFont="1" applyFill="1"/>
    <xf numFmtId="0" fontId="17" fillId="7" borderId="0" xfId="0" applyFont="1" applyFill="1"/>
    <xf numFmtId="0" fontId="24" fillId="0" borderId="35" xfId="0" applyFont="1" applyBorder="1" applyAlignment="1">
      <alignment horizontal="left"/>
    </xf>
    <xf numFmtId="43" fontId="9" fillId="18" borderId="36" xfId="0" applyNumberFormat="1" applyFont="1" applyFill="1" applyBorder="1"/>
    <xf numFmtId="43" fontId="9" fillId="18" borderId="36" xfId="0" applyNumberFormat="1" applyFont="1" applyFill="1" applyBorder="1" applyAlignment="1">
      <alignment horizontal="right"/>
    </xf>
    <xf numFmtId="166" fontId="9" fillId="18" borderId="37" xfId="0" applyNumberFormat="1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4" fillId="11" borderId="38" xfId="0" applyFont="1" applyFill="1" applyBorder="1" applyAlignment="1">
      <alignment wrapText="1"/>
    </xf>
    <xf numFmtId="0" fontId="9" fillId="19" borderId="39" xfId="0" applyFont="1" applyFill="1" applyBorder="1" applyAlignment="1">
      <alignment horizontal="left" vertical="center" wrapText="1"/>
    </xf>
    <xf numFmtId="43" fontId="9" fillId="19" borderId="36" xfId="0" applyNumberFormat="1" applyFont="1" applyFill="1" applyBorder="1"/>
    <xf numFmtId="43" fontId="9" fillId="19" borderId="40" xfId="0" applyNumberFormat="1" applyFont="1" applyFill="1" applyBorder="1"/>
    <xf numFmtId="166" fontId="9" fillId="19" borderId="34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43" fontId="11" fillId="7" borderId="41" xfId="0" applyNumberFormat="1" applyFont="1" applyFill="1" applyBorder="1"/>
    <xf numFmtId="166" fontId="9" fillId="7" borderId="42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43" fontId="11" fillId="7" borderId="4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 vertical="center" wrapText="1"/>
    </xf>
    <xf numFmtId="43" fontId="11" fillId="7" borderId="40" xfId="0" applyNumberFormat="1" applyFont="1" applyFill="1" applyBorder="1" applyAlignment="1">
      <alignment horizontal="right"/>
    </xf>
    <xf numFmtId="166" fontId="9" fillId="7" borderId="6" xfId="0" applyNumberFormat="1" applyFont="1" applyFill="1" applyBorder="1" applyAlignment="1">
      <alignment horizontal="center" vertical="center"/>
    </xf>
    <xf numFmtId="43" fontId="11" fillId="7" borderId="45" xfId="0" applyNumberFormat="1" applyFont="1" applyFill="1" applyBorder="1"/>
    <xf numFmtId="166" fontId="9" fillId="7" borderId="46" xfId="0" applyNumberFormat="1" applyFont="1" applyFill="1" applyBorder="1" applyAlignment="1">
      <alignment horizontal="center" vertical="center"/>
    </xf>
    <xf numFmtId="0" fontId="9" fillId="20" borderId="8" xfId="0" applyFont="1" applyFill="1" applyBorder="1" applyAlignment="1">
      <alignment horizontal="center" vertical="center" wrapText="1"/>
    </xf>
    <xf numFmtId="43" fontId="9" fillId="20" borderId="9" xfId="0" applyNumberFormat="1" applyFont="1" applyFill="1" applyBorder="1"/>
    <xf numFmtId="43" fontId="9" fillId="20" borderId="9" xfId="0" applyNumberFormat="1" applyFont="1" applyFill="1" applyBorder="1" applyAlignment="1">
      <alignment horizontal="right"/>
    </xf>
    <xf numFmtId="10" fontId="9" fillId="20" borderId="1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top"/>
    </xf>
    <xf numFmtId="0" fontId="11" fillId="2" borderId="0" xfId="0" applyFont="1" applyFill="1" applyAlignment="1">
      <alignment wrapText="1"/>
    </xf>
    <xf numFmtId="0" fontId="21" fillId="2" borderId="0" xfId="0" applyFont="1" applyFill="1" applyAlignment="1">
      <alignment wrapText="1"/>
    </xf>
    <xf numFmtId="0" fontId="25" fillId="13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0" fontId="26" fillId="2" borderId="0" xfId="0" applyFont="1" applyFill="1"/>
    <xf numFmtId="43" fontId="10" fillId="0" borderId="47" xfId="0" applyNumberFormat="1" applyFont="1" applyBorder="1" applyAlignment="1">
      <alignment horizontal="center" vertical="center" wrapText="1"/>
    </xf>
    <xf numFmtId="0" fontId="9" fillId="21" borderId="30" xfId="0" applyFont="1" applyFill="1" applyBorder="1"/>
    <xf numFmtId="43" fontId="9" fillId="21" borderId="31" xfId="0" applyNumberFormat="1" applyFont="1" applyFill="1" applyBorder="1"/>
    <xf numFmtId="43" fontId="9" fillId="21" borderId="32" xfId="0" applyNumberFormat="1" applyFont="1" applyFill="1" applyBorder="1"/>
    <xf numFmtId="10" fontId="9" fillId="21" borderId="48" xfId="0" applyNumberFormat="1" applyFont="1" applyFill="1" applyBorder="1" applyAlignment="1">
      <alignment horizontal="center" vertical="center"/>
    </xf>
    <xf numFmtId="43" fontId="11" fillId="0" borderId="32" xfId="0" applyNumberFormat="1" applyFont="1" applyBorder="1"/>
    <xf numFmtId="4" fontId="11" fillId="7" borderId="32" xfId="0" applyNumberFormat="1" applyFont="1" applyFill="1" applyBorder="1" applyAlignment="1">
      <alignment horizontal="right" vertical="center"/>
    </xf>
    <xf numFmtId="0" fontId="9" fillId="21" borderId="35" xfId="0" applyFont="1" applyFill="1" applyBorder="1"/>
    <xf numFmtId="43" fontId="9" fillId="21" borderId="36" xfId="0" applyNumberFormat="1" applyFont="1" applyFill="1" applyBorder="1" applyAlignment="1">
      <alignment horizontal="center" vertical="center"/>
    </xf>
    <xf numFmtId="10" fontId="9" fillId="21" borderId="49" xfId="0" applyNumberFormat="1" applyFont="1" applyFill="1" applyBorder="1" applyAlignment="1">
      <alignment horizontal="center" vertical="center"/>
    </xf>
    <xf numFmtId="4" fontId="11" fillId="7" borderId="36" xfId="0" applyNumberFormat="1" applyFont="1" applyFill="1" applyBorder="1" applyAlignment="1">
      <alignment horizontal="right" vertical="center"/>
    </xf>
    <xf numFmtId="10" fontId="11" fillId="0" borderId="49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wrapText="1"/>
    </xf>
    <xf numFmtId="43" fontId="9" fillId="21" borderId="36" xfId="0" applyNumberFormat="1" applyFont="1" applyFill="1" applyBorder="1"/>
    <xf numFmtId="0" fontId="9" fillId="21" borderId="35" xfId="0" applyFont="1" applyFill="1" applyBorder="1" applyAlignment="1">
      <alignment horizontal="left" vertical="center" wrapText="1"/>
    </xf>
    <xf numFmtId="43" fontId="11" fillId="0" borderId="40" xfId="0" applyNumberFormat="1" applyFont="1" applyBorder="1"/>
    <xf numFmtId="10" fontId="9" fillId="0" borderId="6" xfId="0" applyNumberFormat="1" applyFont="1" applyBorder="1" applyAlignment="1">
      <alignment horizontal="center" vertical="center"/>
    </xf>
    <xf numFmtId="43" fontId="0" fillId="0" borderId="0" xfId="0" applyNumberFormat="1"/>
    <xf numFmtId="0" fontId="9" fillId="7" borderId="52" xfId="0" applyFont="1" applyFill="1" applyBorder="1" applyAlignment="1">
      <alignment horizontal="center" vertical="center" wrapText="1"/>
    </xf>
    <xf numFmtId="43" fontId="9" fillId="7" borderId="53" xfId="0" applyNumberFormat="1" applyFont="1" applyFill="1" applyBorder="1"/>
    <xf numFmtId="166" fontId="9" fillId="7" borderId="53" xfId="0" applyNumberFormat="1" applyFont="1" applyFill="1" applyBorder="1" applyAlignment="1">
      <alignment horizontal="center" vertical="center"/>
    </xf>
    <xf numFmtId="10" fontId="9" fillId="7" borderId="54" xfId="0" applyNumberFormat="1" applyFont="1" applyFill="1" applyBorder="1" applyAlignment="1">
      <alignment horizontal="center" vertical="center"/>
    </xf>
    <xf numFmtId="0" fontId="27" fillId="22" borderId="55" xfId="0" applyFont="1" applyFill="1" applyBorder="1" applyAlignment="1">
      <alignment horizontal="center" vertical="center" wrapText="1"/>
    </xf>
    <xf numFmtId="43" fontId="27" fillId="22" borderId="25" xfId="0" applyNumberFormat="1" applyFont="1" applyFill="1" applyBorder="1"/>
    <xf numFmtId="43" fontId="27" fillId="22" borderId="25" xfId="0" applyNumberFormat="1" applyFont="1" applyFill="1" applyBorder="1" applyAlignment="1">
      <alignment horizontal="right"/>
    </xf>
    <xf numFmtId="10" fontId="27" fillId="22" borderId="56" xfId="0" applyNumberFormat="1" applyFont="1" applyFill="1" applyBorder="1" applyAlignment="1">
      <alignment horizontal="center" vertical="center"/>
    </xf>
    <xf numFmtId="43" fontId="6" fillId="0" borderId="0" xfId="0" applyNumberFormat="1" applyFont="1"/>
    <xf numFmtId="0" fontId="28" fillId="0" borderId="0" xfId="0" applyFont="1"/>
    <xf numFmtId="0" fontId="7" fillId="2" borderId="0" xfId="0" applyFont="1" applyFill="1"/>
    <xf numFmtId="0" fontId="29" fillId="2" borderId="0" xfId="0" applyFont="1" applyFill="1"/>
    <xf numFmtId="39" fontId="11" fillId="7" borderId="36" xfId="0" applyNumberFormat="1" applyFont="1" applyFill="1" applyBorder="1" applyAlignment="1">
      <alignment horizontal="right" vertical="center"/>
    </xf>
    <xf numFmtId="4" fontId="11" fillId="2" borderId="7" xfId="0" applyNumberFormat="1" applyFont="1" applyFill="1" applyBorder="1" applyAlignment="1">
      <alignment horizontal="right" vertical="center"/>
    </xf>
    <xf numFmtId="43" fontId="11" fillId="0" borderId="45" xfId="0" applyNumberFormat="1" applyFont="1" applyBorder="1"/>
    <xf numFmtId="4" fontId="11" fillId="2" borderId="44" xfId="0" applyNumberFormat="1" applyFont="1" applyFill="1" applyBorder="1" applyAlignment="1">
      <alignment horizontal="right" vertical="center"/>
    </xf>
    <xf numFmtId="10" fontId="9" fillId="0" borderId="4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30" fillId="2" borderId="0" xfId="0" applyFont="1" applyFill="1" applyAlignment="1">
      <alignment vertical="top"/>
    </xf>
    <xf numFmtId="0" fontId="30" fillId="13" borderId="0" xfId="0" applyFont="1" applyFill="1"/>
    <xf numFmtId="0" fontId="31" fillId="13" borderId="0" xfId="0" applyFont="1" applyFill="1"/>
    <xf numFmtId="0" fontId="7" fillId="2" borderId="0" xfId="0" applyFont="1" applyFill="1" applyAlignment="1">
      <alignment horizontal="center"/>
    </xf>
    <xf numFmtId="43" fontId="11" fillId="7" borderId="44" xfId="0" applyNumberFormat="1" applyFont="1" applyFill="1" applyBorder="1"/>
    <xf numFmtId="39" fontId="11" fillId="6" borderId="5" xfId="0" applyNumberFormat="1" applyFont="1" applyFill="1" applyBorder="1"/>
    <xf numFmtId="0" fontId="32" fillId="15" borderId="12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right" vertical="center"/>
    </xf>
    <xf numFmtId="10" fontId="9" fillId="18" borderId="5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10" fontId="9" fillId="18" borderId="58" xfId="0" applyNumberFormat="1" applyFont="1" applyFill="1" applyBorder="1" applyAlignment="1">
      <alignment horizontal="center" vertical="center"/>
    </xf>
    <xf numFmtId="166" fontId="9" fillId="18" borderId="34" xfId="0" applyNumberFormat="1" applyFont="1" applyFill="1" applyBorder="1" applyAlignment="1">
      <alignment horizontal="center" vertical="center"/>
    </xf>
    <xf numFmtId="10" fontId="17" fillId="7" borderId="0" xfId="0" applyNumberFormat="1" applyFont="1" applyFill="1"/>
    <xf numFmtId="10" fontId="17" fillId="7" borderId="0" xfId="4" applyNumberFormat="1" applyFont="1" applyFill="1"/>
    <xf numFmtId="10" fontId="11" fillId="24" borderId="48" xfId="0" applyNumberFormat="1" applyFont="1" applyFill="1" applyBorder="1" applyAlignment="1">
      <alignment horizontal="center" vertical="center"/>
    </xf>
    <xf numFmtId="10" fontId="11" fillId="24" borderId="49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wrapText="1"/>
    </xf>
    <xf numFmtId="0" fontId="11" fillId="0" borderId="5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2" borderId="40" xfId="0" applyNumberFormat="1" applyFont="1" applyFill="1" applyBorder="1" applyAlignment="1">
      <alignment horizontal="right" vertical="center"/>
    </xf>
    <xf numFmtId="10" fontId="9" fillId="0" borderId="5" xfId="0" applyNumberFormat="1" applyFont="1" applyBorder="1" applyAlignment="1">
      <alignment horizontal="center" vertical="center"/>
    </xf>
    <xf numFmtId="0" fontId="12" fillId="0" borderId="60" xfId="0" applyFont="1" applyBorder="1"/>
    <xf numFmtId="0" fontId="13" fillId="0" borderId="62" xfId="0" applyFont="1" applyBorder="1" applyAlignment="1">
      <alignment horizontal="left"/>
    </xf>
    <xf numFmtId="0" fontId="13" fillId="0" borderId="63" xfId="0" applyFont="1" applyBorder="1"/>
    <xf numFmtId="0" fontId="13" fillId="0" borderId="35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68" xfId="0" applyFont="1" applyBorder="1"/>
    <xf numFmtId="10" fontId="11" fillId="13" borderId="6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4" fontId="11" fillId="2" borderId="73" xfId="0" applyNumberFormat="1" applyFont="1" applyFill="1" applyBorder="1" applyAlignment="1">
      <alignment horizontal="right" vertical="center"/>
    </xf>
    <xf numFmtId="10" fontId="9" fillId="21" borderId="51" xfId="0" applyNumberFormat="1" applyFont="1" applyFill="1" applyBorder="1" applyAlignment="1">
      <alignment horizontal="center" vertical="center"/>
    </xf>
    <xf numFmtId="0" fontId="11" fillId="0" borderId="43" xfId="0" applyFont="1" applyBorder="1"/>
    <xf numFmtId="43" fontId="11" fillId="0" borderId="40" xfId="0" applyNumberFormat="1" applyFont="1" applyBorder="1" applyAlignment="1">
      <alignment horizontal="right"/>
    </xf>
    <xf numFmtId="4" fontId="11" fillId="7" borderId="40" xfId="0" applyNumberFormat="1" applyFont="1" applyFill="1" applyBorder="1" applyAlignment="1">
      <alignment horizontal="right" vertical="center"/>
    </xf>
    <xf numFmtId="10" fontId="11" fillId="24" borderId="74" xfId="0" applyNumberFormat="1" applyFont="1" applyFill="1" applyBorder="1" applyAlignment="1">
      <alignment horizontal="center" vertical="center"/>
    </xf>
    <xf numFmtId="10" fontId="11" fillId="0" borderId="48" xfId="0" applyNumberFormat="1" applyFont="1" applyBorder="1" applyAlignment="1">
      <alignment horizontal="center" vertical="center"/>
    </xf>
    <xf numFmtId="0" fontId="9" fillId="23" borderId="75" xfId="0" applyFont="1" applyFill="1" applyBorder="1"/>
    <xf numFmtId="43" fontId="9" fillId="23" borderId="76" xfId="0" applyNumberFormat="1" applyFont="1" applyFill="1" applyBorder="1"/>
    <xf numFmtId="43" fontId="9" fillId="23" borderId="76" xfId="0" applyNumberFormat="1" applyFont="1" applyFill="1" applyBorder="1" applyAlignment="1">
      <alignment horizontal="right"/>
    </xf>
    <xf numFmtId="10" fontId="9" fillId="23" borderId="77" xfId="0" applyNumberFormat="1" applyFont="1" applyFill="1" applyBorder="1" applyAlignment="1">
      <alignment horizontal="center" vertical="center"/>
    </xf>
    <xf numFmtId="0" fontId="11" fillId="0" borderId="78" xfId="0" applyFont="1" applyBorder="1"/>
    <xf numFmtId="43" fontId="11" fillId="0" borderId="79" xfId="0" applyNumberFormat="1" applyFont="1" applyBorder="1" applyAlignment="1">
      <alignment horizontal="center" vertical="center"/>
    </xf>
    <xf numFmtId="43" fontId="11" fillId="0" borderId="79" xfId="0" applyNumberFormat="1" applyFont="1" applyBorder="1"/>
    <xf numFmtId="4" fontId="11" fillId="7" borderId="79" xfId="0" applyNumberFormat="1" applyFont="1" applyFill="1" applyBorder="1" applyAlignment="1">
      <alignment horizontal="right" vertical="center"/>
    </xf>
    <xf numFmtId="10" fontId="11" fillId="24" borderId="42" xfId="0" applyNumberFormat="1" applyFont="1" applyFill="1" applyBorder="1" applyAlignment="1">
      <alignment horizontal="center" vertical="center"/>
    </xf>
    <xf numFmtId="43" fontId="9" fillId="23" borderId="76" xfId="0" applyNumberFormat="1" applyFont="1" applyFill="1" applyBorder="1" applyAlignment="1">
      <alignment horizontal="center" vertical="center"/>
    </xf>
    <xf numFmtId="43" fontId="9" fillId="23" borderId="76" xfId="0" applyNumberFormat="1" applyFont="1" applyFill="1" applyBorder="1" applyAlignment="1">
      <alignment horizontal="right" vertical="center"/>
    </xf>
    <xf numFmtId="0" fontId="23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43" fontId="10" fillId="0" borderId="81" xfId="0" applyNumberFormat="1" applyFont="1" applyBorder="1" applyAlignment="1">
      <alignment horizontal="center" vertical="center" wrapText="1"/>
    </xf>
    <xf numFmtId="43" fontId="10" fillId="0" borderId="83" xfId="0" applyNumberFormat="1" applyFont="1" applyBorder="1" applyAlignment="1">
      <alignment horizontal="center" vertical="center" wrapText="1"/>
    </xf>
    <xf numFmtId="10" fontId="11" fillId="0" borderId="74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horizontal="right" vertical="center"/>
    </xf>
    <xf numFmtId="10" fontId="9" fillId="0" borderId="16" xfId="0" applyNumberFormat="1" applyFont="1" applyBorder="1" applyAlignment="1">
      <alignment horizontal="center" vertical="center"/>
    </xf>
    <xf numFmtId="0" fontId="9" fillId="23" borderId="75" xfId="0" applyFont="1" applyFill="1" applyBorder="1" applyAlignment="1">
      <alignment horizontal="left" vertical="center" wrapText="1"/>
    </xf>
    <xf numFmtId="10" fontId="9" fillId="23" borderId="84" xfId="0" applyNumberFormat="1" applyFont="1" applyFill="1" applyBorder="1" applyAlignment="1">
      <alignment horizontal="center" vertical="center"/>
    </xf>
    <xf numFmtId="0" fontId="12" fillId="0" borderId="45" xfId="0" applyFont="1" applyBorder="1" applyAlignment="1">
      <alignment wrapText="1"/>
    </xf>
    <xf numFmtId="0" fontId="9" fillId="23" borderId="11" xfId="0" applyFont="1" applyFill="1" applyBorder="1" applyAlignment="1">
      <alignment horizontal="center" vertical="center" wrapText="1"/>
    </xf>
    <xf numFmtId="43" fontId="9" fillId="23" borderId="12" xfId="0" applyNumberFormat="1" applyFont="1" applyFill="1" applyBorder="1"/>
    <xf numFmtId="10" fontId="9" fillId="23" borderId="13" xfId="0" applyNumberFormat="1" applyFont="1" applyFill="1" applyBorder="1"/>
    <xf numFmtId="164" fontId="9" fillId="13" borderId="1" xfId="0" applyNumberFormat="1" applyFont="1" applyFill="1" applyBorder="1" applyAlignment="1">
      <alignment horizontal="left"/>
    </xf>
    <xf numFmtId="43" fontId="12" fillId="0" borderId="2" xfId="0" applyNumberFormat="1" applyFont="1" applyBorder="1"/>
    <xf numFmtId="10" fontId="12" fillId="0" borderId="3" xfId="2" applyNumberFormat="1" applyFont="1" applyBorder="1" applyAlignment="1"/>
    <xf numFmtId="164" fontId="9" fillId="13" borderId="4" xfId="0" applyNumberFormat="1" applyFont="1" applyFill="1" applyBorder="1"/>
    <xf numFmtId="10" fontId="12" fillId="0" borderId="6" xfId="2" applyNumberFormat="1" applyFont="1" applyBorder="1" applyAlignment="1"/>
    <xf numFmtId="164" fontId="13" fillId="0" borderId="4" xfId="0" applyNumberFormat="1" applyFont="1" applyBorder="1"/>
    <xf numFmtId="164" fontId="13" fillId="0" borderId="8" xfId="0" applyNumberFormat="1" applyFont="1" applyBorder="1"/>
    <xf numFmtId="10" fontId="12" fillId="0" borderId="10" xfId="2" applyNumberFormat="1" applyFont="1" applyBorder="1" applyAlignment="1"/>
    <xf numFmtId="43" fontId="13" fillId="0" borderId="11" xfId="0" applyNumberFormat="1" applyFont="1" applyBorder="1"/>
    <xf numFmtId="43" fontId="13" fillId="0" borderId="12" xfId="0" applyNumberFormat="1" applyFont="1" applyBorder="1"/>
    <xf numFmtId="10" fontId="13" fillId="0" borderId="13" xfId="0" applyNumberFormat="1" applyFont="1" applyBorder="1"/>
    <xf numFmtId="0" fontId="11" fillId="0" borderId="45" xfId="0" applyFont="1" applyBorder="1" applyAlignment="1">
      <alignment horizontal="left" vertical="center" wrapText="1"/>
    </xf>
    <xf numFmtId="10" fontId="9" fillId="0" borderId="45" xfId="0" applyNumberFormat="1" applyFont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right"/>
    </xf>
    <xf numFmtId="0" fontId="14" fillId="11" borderId="4" xfId="0" applyFont="1" applyFill="1" applyBorder="1" applyAlignment="1">
      <alignment horizontal="left"/>
    </xf>
    <xf numFmtId="0" fontId="14" fillId="11" borderId="5" xfId="0" applyFont="1" applyFill="1" applyBorder="1" applyAlignment="1">
      <alignment wrapText="1"/>
    </xf>
    <xf numFmtId="0" fontId="9" fillId="21" borderId="55" xfId="0" applyFont="1" applyFill="1" applyBorder="1" applyAlignment="1">
      <alignment horizontal="center" vertical="center" wrapText="1"/>
    </xf>
    <xf numFmtId="43" fontId="9" fillId="21" borderId="25" xfId="0" applyNumberFormat="1" applyFont="1" applyFill="1" applyBorder="1"/>
    <xf numFmtId="43" fontId="9" fillId="21" borderId="85" xfId="0" applyNumberFormat="1" applyFont="1" applyFill="1" applyBorder="1"/>
    <xf numFmtId="43" fontId="9" fillId="21" borderId="85" xfId="0" applyNumberFormat="1" applyFont="1" applyFill="1" applyBorder="1" applyAlignment="1">
      <alignment horizontal="right"/>
    </xf>
    <xf numFmtId="10" fontId="9" fillId="21" borderId="72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left"/>
    </xf>
    <xf numFmtId="4" fontId="11" fillId="7" borderId="36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4" fontId="11" fillId="2" borderId="73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0" fontId="13" fillId="5" borderId="5" xfId="0" applyFont="1" applyFill="1" applyBorder="1"/>
    <xf numFmtId="43" fontId="11" fillId="0" borderId="5" xfId="0" applyNumberFormat="1" applyFont="1" applyBorder="1" applyAlignment="1">
      <alignment wrapText="1"/>
    </xf>
    <xf numFmtId="40" fontId="11" fillId="11" borderId="5" xfId="0" applyNumberFormat="1" applyFont="1" applyFill="1" applyBorder="1" applyAlignment="1">
      <alignment wrapText="1"/>
    </xf>
    <xf numFmtId="40" fontId="11" fillId="7" borderId="5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2" xfId="0" applyFont="1" applyBorder="1"/>
    <xf numFmtId="43" fontId="11" fillId="0" borderId="2" xfId="0" applyNumberFormat="1" applyFont="1" applyBorder="1"/>
    <xf numFmtId="40" fontId="11" fillId="0" borderId="2" xfId="0" applyNumberFormat="1" applyFont="1" applyBorder="1"/>
    <xf numFmtId="43" fontId="11" fillId="0" borderId="3" xfId="0" applyNumberFormat="1" applyFont="1" applyBorder="1"/>
    <xf numFmtId="43" fontId="11" fillId="7" borderId="9" xfId="0" applyNumberFormat="1" applyFont="1" applyFill="1" applyBorder="1"/>
    <xf numFmtId="0" fontId="12" fillId="0" borderId="86" xfId="0" applyFont="1" applyBorder="1" applyAlignment="1">
      <alignment horizontal="left"/>
    </xf>
    <xf numFmtId="43" fontId="12" fillId="0" borderId="45" xfId="0" applyNumberFormat="1" applyFont="1" applyBorder="1"/>
    <xf numFmtId="164" fontId="12" fillId="0" borderId="45" xfId="1" applyFont="1" applyBorder="1" applyAlignment="1">
      <alignment horizontal="center"/>
    </xf>
    <xf numFmtId="43" fontId="12" fillId="0" borderId="45" xfId="0" applyNumberFormat="1" applyFont="1" applyBorder="1" applyAlignment="1">
      <alignment wrapText="1"/>
    </xf>
    <xf numFmtId="0" fontId="12" fillId="0" borderId="45" xfId="0" applyFont="1" applyBorder="1" applyAlignment="1">
      <alignment horizontal="center"/>
    </xf>
    <xf numFmtId="164" fontId="12" fillId="0" borderId="45" xfId="1" applyFont="1" applyBorder="1" applyAlignment="1">
      <alignment wrapText="1"/>
    </xf>
    <xf numFmtId="43" fontId="12" fillId="0" borderId="46" xfId="0" applyNumberFormat="1" applyFont="1" applyBorder="1"/>
    <xf numFmtId="40" fontId="9" fillId="5" borderId="12" xfId="0" applyNumberFormat="1" applyFont="1" applyFill="1" applyBorder="1"/>
    <xf numFmtId="40" fontId="9" fillId="5" borderId="13" xfId="0" applyNumberFormat="1" applyFont="1" applyFill="1" applyBorder="1"/>
    <xf numFmtId="0" fontId="33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11" fillId="2" borderId="0" xfId="0" applyFont="1" applyFill="1" applyAlignment="1">
      <alignment vertical="top"/>
    </xf>
    <xf numFmtId="0" fontId="11" fillId="13" borderId="0" xfId="0" applyFont="1" applyFill="1"/>
    <xf numFmtId="40" fontId="12" fillId="0" borderId="0" xfId="0" applyNumberFormat="1" applyFont="1"/>
    <xf numFmtId="0" fontId="6" fillId="0" borderId="0" xfId="0" applyFont="1" applyAlignment="1">
      <alignment vertical="center" wrapText="1"/>
    </xf>
    <xf numFmtId="40" fontId="9" fillId="15" borderId="15" xfId="0" applyNumberFormat="1" applyFont="1" applyFill="1" applyBorder="1"/>
    <xf numFmtId="40" fontId="9" fillId="15" borderId="16" xfId="0" applyNumberFormat="1" applyFont="1" applyFill="1" applyBorder="1"/>
    <xf numFmtId="40" fontId="13" fillId="14" borderId="5" xfId="0" applyNumberFormat="1" applyFont="1" applyFill="1" applyBorder="1"/>
    <xf numFmtId="43" fontId="9" fillId="17" borderId="5" xfId="0" applyNumberFormat="1" applyFont="1" applyFill="1" applyBorder="1"/>
    <xf numFmtId="40" fontId="13" fillId="14" borderId="6" xfId="0" applyNumberFormat="1" applyFont="1" applyFill="1" applyBorder="1"/>
    <xf numFmtId="43" fontId="19" fillId="12" borderId="5" xfId="0" applyNumberFormat="1" applyFont="1" applyFill="1" applyBorder="1"/>
    <xf numFmtId="4" fontId="19" fillId="2" borderId="5" xfId="0" applyNumberFormat="1" applyFont="1" applyFill="1" applyBorder="1"/>
    <xf numFmtId="40" fontId="12" fillId="2" borderId="5" xfId="0" applyNumberFormat="1" applyFont="1" applyFill="1" applyBorder="1"/>
    <xf numFmtId="40" fontId="12" fillId="2" borderId="6" xfId="0" applyNumberFormat="1" applyFont="1" applyFill="1" applyBorder="1"/>
    <xf numFmtId="40" fontId="14" fillId="7" borderId="5" xfId="0" applyNumberFormat="1" applyFont="1" applyFill="1" applyBorder="1"/>
    <xf numFmtId="164" fontId="11" fillId="0" borderId="5" xfId="1" applyFont="1" applyBorder="1" applyAlignment="1"/>
    <xf numFmtId="164" fontId="19" fillId="0" borderId="5" xfId="1" applyFont="1" applyBorder="1" applyAlignment="1"/>
    <xf numFmtId="164" fontId="14" fillId="0" borderId="5" xfId="1" applyFont="1" applyBorder="1" applyAlignment="1"/>
    <xf numFmtId="40" fontId="13" fillId="7" borderId="5" xfId="0" applyNumberFormat="1" applyFont="1" applyFill="1" applyBorder="1"/>
    <xf numFmtId="43" fontId="11" fillId="7" borderId="6" xfId="0" applyNumberFormat="1" applyFont="1" applyFill="1" applyBorder="1"/>
    <xf numFmtId="40" fontId="13" fillId="15" borderId="5" xfId="0" applyNumberFormat="1" applyFont="1" applyFill="1" applyBorder="1"/>
    <xf numFmtId="40" fontId="13" fillId="15" borderId="6" xfId="0" applyNumberFormat="1" applyFont="1" applyFill="1" applyBorder="1"/>
    <xf numFmtId="39" fontId="12" fillId="6" borderId="5" xfId="1" applyNumberFormat="1" applyFont="1" applyFill="1" applyBorder="1" applyAlignment="1"/>
    <xf numFmtId="43" fontId="12" fillId="6" borderId="6" xfId="0" applyNumberFormat="1" applyFont="1" applyFill="1" applyBorder="1"/>
    <xf numFmtId="40" fontId="12" fillId="0" borderId="5" xfId="0" applyNumberFormat="1" applyFont="1" applyBorder="1"/>
    <xf numFmtId="40" fontId="20" fillId="0" borderId="5" xfId="0" applyNumberFormat="1" applyFont="1" applyBorder="1"/>
    <xf numFmtId="43" fontId="12" fillId="7" borderId="5" xfId="0" applyNumberFormat="1" applyFont="1" applyFill="1" applyBorder="1"/>
    <xf numFmtId="43" fontId="19" fillId="0" borderId="5" xfId="0" applyNumberFormat="1" applyFont="1" applyBorder="1"/>
    <xf numFmtId="4" fontId="12" fillId="2" borderId="5" xfId="0" applyNumberFormat="1" applyFont="1" applyFill="1" applyBorder="1"/>
    <xf numFmtId="40" fontId="9" fillId="15" borderId="5" xfId="0" applyNumberFormat="1" applyFont="1" applyFill="1" applyBorder="1"/>
    <xf numFmtId="40" fontId="9" fillId="15" borderId="6" xfId="0" applyNumberFormat="1" applyFont="1" applyFill="1" applyBorder="1"/>
    <xf numFmtId="43" fontId="9" fillId="6" borderId="15" xfId="0" applyNumberFormat="1" applyFont="1" applyFill="1" applyBorder="1"/>
    <xf numFmtId="43" fontId="11" fillId="6" borderId="15" xfId="0" applyNumberFormat="1" applyFont="1" applyFill="1" applyBorder="1"/>
    <xf numFmtId="43" fontId="11" fillId="6" borderId="16" xfId="0" applyNumberFormat="1" applyFont="1" applyFill="1" applyBorder="1"/>
    <xf numFmtId="40" fontId="9" fillId="16" borderId="17" xfId="0" applyNumberFormat="1" applyFont="1" applyFill="1" applyBorder="1"/>
    <xf numFmtId="40" fontId="9" fillId="16" borderId="87" xfId="0" applyNumberFormat="1" applyFont="1" applyFill="1" applyBorder="1"/>
    <xf numFmtId="43" fontId="11" fillId="0" borderId="64" xfId="0" applyNumberFormat="1" applyFont="1" applyBorder="1"/>
    <xf numFmtId="43" fontId="11" fillId="0" borderId="20" xfId="0" applyNumberFormat="1" applyFont="1" applyBorder="1"/>
    <xf numFmtId="43" fontId="11" fillId="0" borderId="65" xfId="0" applyNumberFormat="1" applyFont="1" applyBorder="1"/>
    <xf numFmtId="40" fontId="11" fillId="0" borderId="66" xfId="0" applyNumberFormat="1" applyFont="1" applyBorder="1"/>
    <xf numFmtId="40" fontId="11" fillId="0" borderId="64" xfId="0" applyNumberFormat="1" applyFont="1" applyBorder="1"/>
    <xf numFmtId="40" fontId="11" fillId="2" borderId="20" xfId="0" applyNumberFormat="1" applyFont="1" applyFill="1" applyBorder="1"/>
    <xf numFmtId="43" fontId="11" fillId="0" borderId="67" xfId="0" applyNumberFormat="1" applyFont="1" applyBorder="1"/>
    <xf numFmtId="40" fontId="11" fillId="0" borderId="19" xfId="0" applyNumberFormat="1" applyFont="1" applyBorder="1"/>
    <xf numFmtId="43" fontId="11" fillId="7" borderId="23" xfId="0" applyNumberFormat="1" applyFont="1" applyFill="1" applyBorder="1"/>
    <xf numFmtId="40" fontId="11" fillId="0" borderId="21" xfId="0" applyNumberFormat="1" applyFont="1" applyBorder="1"/>
    <xf numFmtId="40" fontId="11" fillId="0" borderId="22" xfId="0" applyNumberFormat="1" applyFont="1" applyBorder="1"/>
    <xf numFmtId="40" fontId="11" fillId="2" borderId="23" xfId="0" applyNumberFormat="1" applyFont="1" applyFill="1" applyBorder="1"/>
    <xf numFmtId="40" fontId="11" fillId="0" borderId="48" xfId="0" applyNumberFormat="1" applyFont="1" applyBorder="1"/>
    <xf numFmtId="40" fontId="11" fillId="0" borderId="69" xfId="0" applyNumberFormat="1" applyFont="1" applyBorder="1"/>
    <xf numFmtId="43" fontId="11" fillId="7" borderId="24" xfId="0" applyNumberFormat="1" applyFont="1" applyFill="1" applyBorder="1"/>
    <xf numFmtId="40" fontId="11" fillId="0" borderId="70" xfId="0" applyNumberFormat="1" applyFont="1" applyBorder="1"/>
    <xf numFmtId="40" fontId="11" fillId="0" borderId="71" xfId="0" applyNumberFormat="1" applyFont="1" applyBorder="1"/>
    <xf numFmtId="40" fontId="11" fillId="2" borderId="24" xfId="0" applyNumberFormat="1" applyFont="1" applyFill="1" applyBorder="1"/>
    <xf numFmtId="40" fontId="11" fillId="0" borderId="72" xfId="0" applyNumberFormat="1" applyFont="1" applyBorder="1"/>
    <xf numFmtId="0" fontId="13" fillId="5" borderId="11" xfId="0" applyFont="1" applyFill="1" applyBorder="1" applyAlignment="1">
      <alignment horizontal="left"/>
    </xf>
    <xf numFmtId="0" fontId="14" fillId="3" borderId="12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16" borderId="39" xfId="0" applyFont="1" applyFill="1" applyBorder="1" applyAlignment="1">
      <alignment horizontal="left"/>
    </xf>
    <xf numFmtId="0" fontId="14" fillId="0" borderId="61" xfId="0" applyFont="1" applyBorder="1"/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2" fillId="12" borderId="0" xfId="0" applyFont="1" applyFill="1" applyAlignment="1">
      <alignment horizontal="center"/>
    </xf>
    <xf numFmtId="0" fontId="3" fillId="2" borderId="25" xfId="0" applyFont="1" applyFill="1" applyBorder="1" applyAlignment="1">
      <alignment horizontal="center" wrapText="1"/>
    </xf>
  </cellXfs>
  <cellStyles count="5">
    <cellStyle name="Millares" xfId="1" builtinId="3"/>
    <cellStyle name="Normal" xfId="0" builtinId="0"/>
    <cellStyle name="Normal 2" xfId="3" xr:uid="{C3349039-B383-4139-817C-CF74C9EC2496}"/>
    <cellStyle name="Porcentaje" xfId="4" builtinId="5"/>
    <cellStyle name="Porcentaje 2" xfId="2" xr:uid="{83C0B6E5-E884-4446-9107-1B6E3EA39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124021</xdr:colOff>
      <xdr:row>0</xdr:row>
      <xdr:rowOff>0</xdr:rowOff>
    </xdr:from>
    <xdr:to>
      <xdr:col>1</xdr:col>
      <xdr:colOff>1355078</xdr:colOff>
      <xdr:row>2</xdr:row>
      <xdr:rowOff>210911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90F3B59-91F4-458B-B8EB-6329F0D05A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21" y="0"/>
          <a:ext cx="2021632" cy="896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1387872</xdr:colOff>
      <xdr:row>3</xdr:row>
      <xdr:rowOff>152400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C2562C6-1423-4D65-9208-6053E37A28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0859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120082</xdr:colOff>
      <xdr:row>0</xdr:row>
      <xdr:rowOff>150811</xdr:rowOff>
    </xdr:from>
    <xdr:to>
      <xdr:col>0</xdr:col>
      <xdr:colOff>1785937</xdr:colOff>
      <xdr:row>5</xdr:row>
      <xdr:rowOff>63499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CB74CA2-3168-4FDB-A780-8F1CD037F3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82" y="150811"/>
          <a:ext cx="1665855" cy="944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8505</xdr:colOff>
      <xdr:row>66</xdr:row>
      <xdr:rowOff>51024</xdr:rowOff>
    </xdr:from>
    <xdr:to>
      <xdr:col>0</xdr:col>
      <xdr:colOff>1635125</xdr:colOff>
      <xdr:row>69</xdr:row>
      <xdr:rowOff>119061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D3FCDC41-B176-4ED8-8FB7-23B7F80FBE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" y="13251087"/>
          <a:ext cx="1626620" cy="8617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1724025</xdr:colOff>
      <xdr:row>2</xdr:row>
      <xdr:rowOff>171450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CD4B0A8-1E42-4C9D-9C30-9CA10A353C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16859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lba Peña" id="{A14D1B72-9839-4447-ABA4-8016B7AF4DAC}" userId="S::melba.pena@codopesca.gob.do::8894c726-5575-4ae0-acef-fbb0a6e04d07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7" dT="2021-07-01T15:03:13.13" personId="{A14D1B72-9839-4447-ABA4-8016B7AF4DAC}" id="{26171A55-DC1C-456E-A4C7-84AA67DA6BFE}">
    <text>pendiente por validar por DIGEPRES</text>
  </threadedComment>
  <threadedComment ref="B111" dT="2022-03-16T19:48:06.58" personId="{A14D1B72-9839-4447-ABA4-8016B7AF4DAC}" id="{CB1CCE45-6C50-4253-90B6-CD3AD7824163}">
    <text>balanzas de piso y mesa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4A74-7486-4A34-B292-5F6F18E35C3E}">
  <dimension ref="A1:Z1075"/>
  <sheetViews>
    <sheetView showGridLines="0" tabSelected="1" zoomScaleNormal="100" workbookViewId="0">
      <selection activeCell="M7" sqref="M7"/>
    </sheetView>
  </sheetViews>
  <sheetFormatPr baseColWidth="10" defaultColWidth="14.42578125" defaultRowHeight="15.75" customHeight="1" x14ac:dyDescent="0.2"/>
  <cols>
    <col min="1" max="1" width="11.85546875" style="122" customWidth="1"/>
    <col min="2" max="2" width="40.7109375" customWidth="1"/>
    <col min="3" max="3" width="15.85546875" customWidth="1"/>
    <col min="4" max="4" width="14.7109375" customWidth="1"/>
    <col min="5" max="5" width="15" customWidth="1"/>
    <col min="6" max="6" width="13" customWidth="1"/>
    <col min="7" max="8" width="13.5703125" customWidth="1"/>
    <col min="9" max="9" width="14" customWidth="1"/>
    <col min="10" max="10" width="13.5703125" customWidth="1"/>
    <col min="11" max="11" width="14.140625" customWidth="1"/>
    <col min="12" max="12" width="12.85546875" customWidth="1"/>
    <col min="13" max="13" width="14" customWidth="1"/>
    <col min="14" max="14" width="14.140625" hidden="1" customWidth="1"/>
    <col min="15" max="15" width="15.28515625" hidden="1" customWidth="1"/>
    <col min="16" max="16" width="14.140625" hidden="1" customWidth="1"/>
    <col min="17" max="17" width="13.85546875" hidden="1" customWidth="1"/>
    <col min="18" max="18" width="14.7109375" customWidth="1"/>
    <col min="19" max="19" width="15" customWidth="1"/>
    <col min="20" max="20" width="17.42578125" customWidth="1"/>
    <col min="21" max="21" width="21.42578125" customWidth="1"/>
    <col min="22" max="26" width="10.7109375" customWidth="1"/>
  </cols>
  <sheetData>
    <row r="1" spans="1:26" ht="14.25" customHeight="1" x14ac:dyDescent="0.35">
      <c r="A1" s="428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S1" s="1" t="s">
        <v>430</v>
      </c>
    </row>
    <row r="2" spans="1:26" ht="39.75" customHeight="1" x14ac:dyDescent="0.35">
      <c r="A2" s="430" t="s">
        <v>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26" ht="26.25" customHeight="1" x14ac:dyDescent="0.35">
      <c r="A3" s="432" t="s">
        <v>357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</row>
    <row r="4" spans="1:26" ht="20.25" customHeight="1" x14ac:dyDescent="0.2">
      <c r="A4" s="434" t="s">
        <v>1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</row>
    <row r="5" spans="1:26" ht="22.5" customHeight="1" thickBot="1" x14ac:dyDescent="0.3">
      <c r="A5" s="435" t="s">
        <v>2</v>
      </c>
      <c r="B5" s="436"/>
      <c r="I5" s="4"/>
    </row>
    <row r="6" spans="1:26" ht="59.25" customHeight="1" x14ac:dyDescent="0.2">
      <c r="A6" s="5" t="s">
        <v>3</v>
      </c>
      <c r="B6" s="350" t="s">
        <v>4</v>
      </c>
      <c r="C6" s="6" t="s">
        <v>359</v>
      </c>
      <c r="D6" s="6" t="s">
        <v>5</v>
      </c>
      <c r="E6" s="6" t="s">
        <v>358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7" t="s">
        <v>360</v>
      </c>
    </row>
    <row r="7" spans="1:26" ht="19.5" customHeight="1" x14ac:dyDescent="0.25">
      <c r="A7" s="345">
        <v>2.1</v>
      </c>
      <c r="B7" s="351" t="s">
        <v>19</v>
      </c>
      <c r="C7" s="8">
        <f t="shared" ref="C7:Q7" si="0">C8+C15+C19+C21</f>
        <v>84544409</v>
      </c>
      <c r="D7" s="8">
        <f t="shared" si="0"/>
        <v>5474148</v>
      </c>
      <c r="E7" s="8">
        <f t="shared" si="0"/>
        <v>90018557</v>
      </c>
      <c r="F7" s="8">
        <f>F8+F15+F19+F21</f>
        <v>6050057.46</v>
      </c>
      <c r="G7" s="8">
        <f t="shared" si="0"/>
        <v>6040644.4100000001</v>
      </c>
      <c r="H7" s="8">
        <f t="shared" si="0"/>
        <v>6460148.3900000006</v>
      </c>
      <c r="I7" s="8">
        <f>I8+I15+I19+I21</f>
        <v>6313770.3799999999</v>
      </c>
      <c r="J7" s="8">
        <f>J8+J15+J19+J21</f>
        <v>8252491.4000000004</v>
      </c>
      <c r="K7" s="8">
        <f t="shared" si="0"/>
        <v>6151934.29</v>
      </c>
      <c r="L7" s="8">
        <f t="shared" si="0"/>
        <v>6419491.04</v>
      </c>
      <c r="M7" s="8">
        <f t="shared" si="0"/>
        <v>6114953.4900000002</v>
      </c>
      <c r="N7" s="8">
        <f>N8+N15+N19+N21</f>
        <v>0</v>
      </c>
      <c r="O7" s="8">
        <f>O8+O15+O19+O21</f>
        <v>0</v>
      </c>
      <c r="P7" s="8">
        <f t="shared" si="0"/>
        <v>0</v>
      </c>
      <c r="Q7" s="8">
        <f t="shared" si="0"/>
        <v>0</v>
      </c>
      <c r="R7" s="8">
        <f>+R8+R15+R19+R21</f>
        <v>51803490.859999999</v>
      </c>
      <c r="S7" s="9">
        <f>S8+S15+S19+S21</f>
        <v>38215066.140000001</v>
      </c>
      <c r="T7" s="10"/>
      <c r="U7" s="11"/>
      <c r="V7" s="11"/>
      <c r="W7" s="11"/>
      <c r="X7" s="11"/>
      <c r="Y7" s="11"/>
      <c r="Z7" s="11"/>
    </row>
    <row r="8" spans="1:26" ht="18" customHeight="1" x14ac:dyDescent="0.25">
      <c r="A8" s="12" t="s">
        <v>20</v>
      </c>
      <c r="B8" s="13" t="s">
        <v>21</v>
      </c>
      <c r="C8" s="73">
        <f t="shared" ref="C8:G8" si="1">SUM(C9:C14)</f>
        <v>72140000</v>
      </c>
      <c r="D8" s="267">
        <f t="shared" si="1"/>
        <v>5474148</v>
      </c>
      <c r="E8" s="73">
        <f t="shared" si="1"/>
        <v>77614148</v>
      </c>
      <c r="F8" s="73">
        <f>SUM(F9:F14)</f>
        <v>5229106.25</v>
      </c>
      <c r="G8" s="73">
        <f t="shared" si="1"/>
        <v>5219106.25</v>
      </c>
      <c r="H8" s="73">
        <f>SUM(H9:H14)</f>
        <v>5664777.6900000004</v>
      </c>
      <c r="I8" s="73">
        <f>SUM(I9:I14)</f>
        <v>5526634.6299999999</v>
      </c>
      <c r="J8" s="73">
        <f>SUM(J9:J14)</f>
        <v>5506552.9500000002</v>
      </c>
      <c r="K8" s="73">
        <f>SUM(K9:K14)</f>
        <v>5323106.25</v>
      </c>
      <c r="L8" s="73">
        <f t="shared" ref="L8:Q8" si="2">SUM(L9:L14)</f>
        <v>5572540.04</v>
      </c>
      <c r="M8" s="73">
        <f t="shared" si="2"/>
        <v>5307106.25</v>
      </c>
      <c r="N8" s="73">
        <f t="shared" si="2"/>
        <v>0</v>
      </c>
      <c r="O8" s="73">
        <f t="shared" si="2"/>
        <v>0</v>
      </c>
      <c r="P8" s="73">
        <f t="shared" si="2"/>
        <v>0</v>
      </c>
      <c r="Q8" s="73">
        <f t="shared" si="2"/>
        <v>0</v>
      </c>
      <c r="R8" s="73">
        <f>SUM(R9:R14)</f>
        <v>43348930.310000002</v>
      </c>
      <c r="S8" s="140">
        <f>SUM(S9:S14)</f>
        <v>34265217.689999998</v>
      </c>
      <c r="T8" s="15"/>
      <c r="U8" s="16"/>
      <c r="V8" s="16"/>
      <c r="W8" s="16"/>
      <c r="X8" s="16"/>
      <c r="Y8" s="16"/>
      <c r="Z8" s="16"/>
    </row>
    <row r="9" spans="1:26" ht="18" customHeight="1" x14ac:dyDescent="0.25">
      <c r="A9" s="17" t="s">
        <v>22</v>
      </c>
      <c r="B9" s="18" t="s">
        <v>23</v>
      </c>
      <c r="C9" s="19">
        <v>60600000</v>
      </c>
      <c r="D9" s="20">
        <v>5000000</v>
      </c>
      <c r="E9" s="21">
        <f>+C9+D9</f>
        <v>65600000</v>
      </c>
      <c r="F9" s="22">
        <v>4964106.25</v>
      </c>
      <c r="G9" s="23">
        <v>4954106.25</v>
      </c>
      <c r="H9" s="23">
        <v>4929106.25</v>
      </c>
      <c r="I9" s="23">
        <v>4984106.25</v>
      </c>
      <c r="J9" s="23">
        <v>5012106.25</v>
      </c>
      <c r="K9" s="23">
        <v>5052106.25</v>
      </c>
      <c r="L9" s="23">
        <v>4977106.25</v>
      </c>
      <c r="M9" s="23">
        <v>5027106.25</v>
      </c>
      <c r="N9" s="23"/>
      <c r="O9" s="23"/>
      <c r="P9" s="23"/>
      <c r="Q9" s="23"/>
      <c r="R9" s="23">
        <f t="shared" ref="R9:R14" si="3">SUM(F9:Q9)</f>
        <v>39899850</v>
      </c>
      <c r="S9" s="24">
        <f t="shared" ref="S9:S14" si="4">E9-R9</f>
        <v>25700150</v>
      </c>
      <c r="T9" s="25"/>
      <c r="U9" s="11"/>
      <c r="V9" s="11"/>
      <c r="W9" s="11"/>
      <c r="X9" s="11"/>
      <c r="Y9" s="11"/>
      <c r="Z9" s="11"/>
    </row>
    <row r="10" spans="1:26" ht="18" customHeight="1" x14ac:dyDescent="0.25">
      <c r="A10" s="17" t="s">
        <v>24</v>
      </c>
      <c r="B10" s="18" t="s">
        <v>25</v>
      </c>
      <c r="C10" s="19">
        <v>2020000</v>
      </c>
      <c r="D10" s="20">
        <v>0</v>
      </c>
      <c r="E10" s="21">
        <f>+C10+D10</f>
        <v>2020000</v>
      </c>
      <c r="F10" s="23">
        <v>100000</v>
      </c>
      <c r="G10" s="23">
        <v>100000</v>
      </c>
      <c r="H10" s="23">
        <v>100000</v>
      </c>
      <c r="I10" s="23">
        <v>100000</v>
      </c>
      <c r="J10" s="23">
        <v>146000</v>
      </c>
      <c r="K10" s="23">
        <v>146000</v>
      </c>
      <c r="L10" s="23">
        <v>155000</v>
      </c>
      <c r="M10" s="23">
        <v>155000</v>
      </c>
      <c r="N10" s="23"/>
      <c r="O10" s="23"/>
      <c r="P10" s="23"/>
      <c r="Q10" s="23"/>
      <c r="R10" s="23">
        <f t="shared" si="3"/>
        <v>1002000</v>
      </c>
      <c r="S10" s="24">
        <f t="shared" si="4"/>
        <v>1018000</v>
      </c>
      <c r="T10" s="26"/>
      <c r="U10" s="11"/>
      <c r="V10" s="11"/>
      <c r="W10" s="11"/>
      <c r="X10" s="11"/>
      <c r="Y10" s="11"/>
      <c r="Z10" s="11"/>
    </row>
    <row r="11" spans="1:26" ht="18" customHeight="1" x14ac:dyDescent="0.25">
      <c r="A11" s="17" t="s">
        <v>26</v>
      </c>
      <c r="B11" s="18" t="s">
        <v>27</v>
      </c>
      <c r="C11" s="19">
        <v>3120000</v>
      </c>
      <c r="D11" s="20"/>
      <c r="E11" s="21">
        <f t="shared" ref="E11:E14" si="5">+C11+D11</f>
        <v>3120000</v>
      </c>
      <c r="F11" s="23">
        <v>165000</v>
      </c>
      <c r="G11" s="23">
        <v>165000</v>
      </c>
      <c r="H11" s="23">
        <v>165000</v>
      </c>
      <c r="I11" s="23">
        <v>125000</v>
      </c>
      <c r="J11" s="23">
        <v>125000</v>
      </c>
      <c r="K11" s="23">
        <v>125000</v>
      </c>
      <c r="L11" s="23">
        <v>125000</v>
      </c>
      <c r="M11" s="23">
        <v>125000</v>
      </c>
      <c r="N11" s="23"/>
      <c r="O11" s="23"/>
      <c r="P11" s="23"/>
      <c r="Q11" s="23"/>
      <c r="R11" s="23">
        <f t="shared" si="3"/>
        <v>1120000</v>
      </c>
      <c r="S11" s="24">
        <f t="shared" si="4"/>
        <v>2000000</v>
      </c>
      <c r="T11" s="25"/>
      <c r="U11" s="11"/>
      <c r="V11" s="11"/>
      <c r="W11" s="11"/>
      <c r="X11" s="11"/>
      <c r="Y11" s="11"/>
      <c r="Z11" s="11"/>
    </row>
    <row r="12" spans="1:26" ht="18" customHeight="1" x14ac:dyDescent="0.25">
      <c r="A12" s="17" t="s">
        <v>28</v>
      </c>
      <c r="B12" s="18" t="s">
        <v>29</v>
      </c>
      <c r="C12" s="19">
        <v>5400000</v>
      </c>
      <c r="D12" s="27"/>
      <c r="E12" s="21">
        <f>+C12+D12</f>
        <v>5400000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7"/>
      <c r="Q12" s="19"/>
      <c r="R12" s="23">
        <f t="shared" si="3"/>
        <v>0</v>
      </c>
      <c r="S12" s="24">
        <f t="shared" si="4"/>
        <v>5400000</v>
      </c>
      <c r="T12" s="25"/>
      <c r="U12" s="11"/>
      <c r="V12" s="11"/>
      <c r="W12" s="11"/>
      <c r="X12" s="11"/>
      <c r="Y12" s="11"/>
      <c r="Z12" s="11"/>
    </row>
    <row r="13" spans="1:26" ht="18" customHeight="1" x14ac:dyDescent="0.25">
      <c r="A13" s="17" t="s">
        <v>30</v>
      </c>
      <c r="B13" s="18" t="s">
        <v>31</v>
      </c>
      <c r="C13" s="19">
        <v>500000</v>
      </c>
      <c r="D13" s="27">
        <v>335000</v>
      </c>
      <c r="E13" s="21">
        <f>+C13+D13</f>
        <v>835000</v>
      </c>
      <c r="F13" s="28"/>
      <c r="G13" s="28"/>
      <c r="H13" s="29">
        <v>335000</v>
      </c>
      <c r="I13" s="29">
        <v>252000</v>
      </c>
      <c r="J13" s="29">
        <v>77000</v>
      </c>
      <c r="K13" s="28"/>
      <c r="L13" s="29">
        <v>135000</v>
      </c>
      <c r="M13" s="28"/>
      <c r="N13" s="29"/>
      <c r="O13" s="29"/>
      <c r="P13" s="27"/>
      <c r="Q13" s="19"/>
      <c r="R13" s="23">
        <f t="shared" si="3"/>
        <v>799000</v>
      </c>
      <c r="S13" s="24">
        <f t="shared" si="4"/>
        <v>36000</v>
      </c>
      <c r="T13" s="25"/>
      <c r="U13" s="11"/>
      <c r="V13" s="11"/>
      <c r="W13" s="11"/>
      <c r="X13" s="11"/>
      <c r="Y13" s="11"/>
      <c r="Z13" s="11"/>
    </row>
    <row r="14" spans="1:26" ht="18" customHeight="1" x14ac:dyDescent="0.25">
      <c r="A14" s="17" t="s">
        <v>32</v>
      </c>
      <c r="B14" s="18" t="s">
        <v>33</v>
      </c>
      <c r="C14" s="19">
        <v>500000</v>
      </c>
      <c r="D14" s="27">
        <v>139148</v>
      </c>
      <c r="E14" s="21">
        <f t="shared" si="5"/>
        <v>639148</v>
      </c>
      <c r="F14" s="28"/>
      <c r="G14" s="28"/>
      <c r="H14" s="29">
        <v>135671.44</v>
      </c>
      <c r="I14" s="29">
        <v>65528.38</v>
      </c>
      <c r="J14" s="29">
        <v>146446.70000000001</v>
      </c>
      <c r="K14" s="29"/>
      <c r="L14" s="29">
        <v>180433.79</v>
      </c>
      <c r="M14" s="30"/>
      <c r="N14" s="29"/>
      <c r="O14" s="29"/>
      <c r="P14" s="27"/>
      <c r="Q14" s="19"/>
      <c r="R14" s="23">
        <f t="shared" si="3"/>
        <v>528080.31000000006</v>
      </c>
      <c r="S14" s="24">
        <f t="shared" si="4"/>
        <v>111067.68999999994</v>
      </c>
      <c r="T14" s="25"/>
      <c r="U14" s="11"/>
      <c r="V14" s="11"/>
      <c r="W14" s="11"/>
      <c r="X14" s="11"/>
      <c r="Y14" s="11"/>
      <c r="Z14" s="11"/>
    </row>
    <row r="15" spans="1:26" ht="18" customHeight="1" x14ac:dyDescent="0.25">
      <c r="A15" s="12" t="s">
        <v>34</v>
      </c>
      <c r="B15" s="13" t="s">
        <v>35</v>
      </c>
      <c r="C15" s="73">
        <f>SUM(C16:C18)</f>
        <v>2100000</v>
      </c>
      <c r="D15" s="73">
        <f t="shared" ref="D15:E15" si="6">SUM(D16:D18)</f>
        <v>0</v>
      </c>
      <c r="E15" s="73">
        <f t="shared" si="6"/>
        <v>2100000</v>
      </c>
      <c r="F15" s="73">
        <f>+F17</f>
        <v>0</v>
      </c>
      <c r="G15" s="73">
        <f t="shared" ref="G15:J15" si="7">+G17</f>
        <v>0</v>
      </c>
      <c r="H15" s="73">
        <f t="shared" si="7"/>
        <v>0</v>
      </c>
      <c r="I15" s="73">
        <f t="shared" si="7"/>
        <v>0</v>
      </c>
      <c r="J15" s="73">
        <f t="shared" si="7"/>
        <v>1908606.25</v>
      </c>
      <c r="K15" s="73">
        <f>+K17+K16+K18</f>
        <v>0</v>
      </c>
      <c r="L15" s="73">
        <f t="shared" ref="L15:Q15" si="8">+L17+L16+L18</f>
        <v>0</v>
      </c>
      <c r="M15" s="73">
        <f t="shared" si="8"/>
        <v>0</v>
      </c>
      <c r="N15" s="73">
        <f>+N17+N16+N18</f>
        <v>0</v>
      </c>
      <c r="O15" s="73">
        <f t="shared" si="8"/>
        <v>0</v>
      </c>
      <c r="P15" s="73">
        <f t="shared" si="8"/>
        <v>0</v>
      </c>
      <c r="Q15" s="73">
        <f t="shared" si="8"/>
        <v>0</v>
      </c>
      <c r="R15" s="73">
        <f>SUM(R16:R18)</f>
        <v>1908606.25</v>
      </c>
      <c r="S15" s="140">
        <f>SUM(S16:S18)</f>
        <v>191393.75</v>
      </c>
      <c r="T15" s="31"/>
      <c r="U15" s="16"/>
      <c r="V15" s="16"/>
      <c r="W15" s="16"/>
      <c r="X15" s="16"/>
      <c r="Y15" s="16"/>
      <c r="Z15" s="16"/>
    </row>
    <row r="16" spans="1:26" ht="16.5" customHeight="1" x14ac:dyDescent="0.25">
      <c r="A16" s="32" t="s">
        <v>36</v>
      </c>
      <c r="B16" s="33" t="s">
        <v>37</v>
      </c>
      <c r="C16" s="34"/>
      <c r="D16" s="19">
        <v>0</v>
      </c>
      <c r="E16" s="34">
        <f>+C16+D16</f>
        <v>0</v>
      </c>
      <c r="F16" s="35"/>
      <c r="G16" s="35"/>
      <c r="H16" s="35"/>
      <c r="I16" s="35"/>
      <c r="J16" s="35"/>
      <c r="K16" s="34"/>
      <c r="L16" s="35"/>
      <c r="M16" s="35"/>
      <c r="N16" s="34"/>
      <c r="O16" s="35"/>
      <c r="P16" s="35"/>
      <c r="Q16" s="35"/>
      <c r="R16" s="19">
        <f t="shared" ref="R16:R18" si="9">SUM(F16:Q16)</f>
        <v>0</v>
      </c>
      <c r="S16" s="36">
        <f>E16-R16</f>
        <v>0</v>
      </c>
      <c r="T16" s="11"/>
      <c r="U16" s="11"/>
      <c r="V16" s="11"/>
      <c r="W16" s="11"/>
      <c r="X16" s="11"/>
      <c r="Y16" s="11"/>
      <c r="Z16" s="11"/>
    </row>
    <row r="17" spans="1:26" ht="16.5" customHeight="1" x14ac:dyDescent="0.25">
      <c r="A17" s="32" t="s">
        <v>38</v>
      </c>
      <c r="B17" s="33" t="s">
        <v>39</v>
      </c>
      <c r="C17" s="34">
        <v>2100000</v>
      </c>
      <c r="D17" s="19">
        <v>0</v>
      </c>
      <c r="E17" s="34">
        <f>C17+D17</f>
        <v>2100000</v>
      </c>
      <c r="F17" s="35"/>
      <c r="G17" s="35"/>
      <c r="H17" s="35"/>
      <c r="I17" s="35"/>
      <c r="J17" s="34">
        <v>1908606.25</v>
      </c>
      <c r="K17" s="34"/>
      <c r="L17" s="35"/>
      <c r="M17" s="35"/>
      <c r="N17" s="35"/>
      <c r="O17" s="35"/>
      <c r="P17" s="35"/>
      <c r="Q17" s="35"/>
      <c r="R17" s="19">
        <f t="shared" si="9"/>
        <v>1908606.25</v>
      </c>
      <c r="S17" s="36">
        <f>E17-R17</f>
        <v>191393.75</v>
      </c>
      <c r="T17" s="11"/>
      <c r="U17" s="11"/>
      <c r="V17" s="11"/>
      <c r="W17" s="11"/>
      <c r="X17" s="11"/>
      <c r="Y17" s="11"/>
      <c r="Z17" s="11"/>
    </row>
    <row r="18" spans="1:26" ht="28.5" customHeight="1" x14ac:dyDescent="0.25">
      <c r="A18" s="32" t="s">
        <v>40</v>
      </c>
      <c r="B18" s="37" t="s">
        <v>41</v>
      </c>
      <c r="C18" s="34"/>
      <c r="D18" s="19">
        <v>0</v>
      </c>
      <c r="E18" s="34">
        <f>C18+D18</f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9">
        <f t="shared" si="9"/>
        <v>0</v>
      </c>
      <c r="S18" s="36">
        <f>E18-R18</f>
        <v>0</v>
      </c>
      <c r="T18" s="11"/>
      <c r="U18" s="11"/>
      <c r="V18" s="11"/>
      <c r="W18" s="11"/>
      <c r="X18" s="11"/>
      <c r="Y18" s="11"/>
      <c r="Z18" s="11"/>
    </row>
    <row r="19" spans="1:26" ht="16.5" customHeight="1" x14ac:dyDescent="0.25">
      <c r="A19" s="12" t="s">
        <v>42</v>
      </c>
      <c r="B19" s="13" t="s">
        <v>43</v>
      </c>
      <c r="C19" s="73">
        <f>C20</f>
        <v>432000</v>
      </c>
      <c r="D19" s="73">
        <f>+D20</f>
        <v>0</v>
      </c>
      <c r="E19" s="55">
        <f>E20</f>
        <v>432000</v>
      </c>
      <c r="F19" s="73">
        <f>F20</f>
        <v>33829.599999999999</v>
      </c>
      <c r="G19" s="73">
        <f t="shared" ref="G19:Q19" si="10">G20</f>
        <v>36000</v>
      </c>
      <c r="H19" s="73">
        <f t="shared" si="10"/>
        <v>13655.04</v>
      </c>
      <c r="I19" s="73">
        <f t="shared" si="10"/>
        <v>0</v>
      </c>
      <c r="J19" s="73">
        <f t="shared" si="10"/>
        <v>39048.959999999999</v>
      </c>
      <c r="K19" s="73">
        <f>K20</f>
        <v>24428.799999999999</v>
      </c>
      <c r="L19" s="73">
        <f t="shared" si="10"/>
        <v>52643.16</v>
      </c>
      <c r="M19" s="73">
        <f t="shared" si="10"/>
        <v>5894.4</v>
      </c>
      <c r="N19" s="73">
        <f t="shared" si="10"/>
        <v>0</v>
      </c>
      <c r="O19" s="73">
        <f t="shared" si="10"/>
        <v>0</v>
      </c>
      <c r="P19" s="73">
        <f t="shared" si="10"/>
        <v>0</v>
      </c>
      <c r="Q19" s="73">
        <f t="shared" si="10"/>
        <v>0</v>
      </c>
      <c r="R19" s="73">
        <f t="shared" ref="R19:R24" si="11">SUM(F19:Q19)</f>
        <v>205499.96</v>
      </c>
      <c r="S19" s="140">
        <f>S20</f>
        <v>226500.04</v>
      </c>
      <c r="T19" s="16"/>
      <c r="U19" s="16"/>
      <c r="V19" s="16"/>
      <c r="W19" s="16"/>
      <c r="X19" s="16"/>
      <c r="Y19" s="16"/>
      <c r="Z19" s="16"/>
    </row>
    <row r="20" spans="1:26" ht="16.5" customHeight="1" x14ac:dyDescent="0.25">
      <c r="A20" s="39" t="s">
        <v>44</v>
      </c>
      <c r="B20" s="40" t="s">
        <v>45</v>
      </c>
      <c r="C20" s="41">
        <v>432000</v>
      </c>
      <c r="D20" s="20">
        <v>0</v>
      </c>
      <c r="E20" s="20">
        <f>+C20+D20</f>
        <v>432000</v>
      </c>
      <c r="F20" s="41">
        <v>33829.599999999999</v>
      </c>
      <c r="G20" s="41">
        <v>36000</v>
      </c>
      <c r="H20" s="41">
        <v>13655.04</v>
      </c>
      <c r="I20" s="41"/>
      <c r="J20" s="41">
        <v>39048.959999999999</v>
      </c>
      <c r="K20" s="41">
        <v>24428.799999999999</v>
      </c>
      <c r="L20" s="41">
        <v>52643.16</v>
      </c>
      <c r="M20" s="41">
        <v>5894.4</v>
      </c>
      <c r="N20" s="41"/>
      <c r="O20" s="41"/>
      <c r="P20" s="41"/>
      <c r="Q20" s="41"/>
      <c r="R20" s="41">
        <f t="shared" si="11"/>
        <v>205499.96</v>
      </c>
      <c r="S20" s="42">
        <f>E20-R20</f>
        <v>226500.04</v>
      </c>
      <c r="T20" s="31"/>
      <c r="U20" s="16"/>
      <c r="V20" s="16"/>
      <c r="W20" s="16"/>
      <c r="X20" s="16"/>
      <c r="Y20" s="16"/>
      <c r="Z20" s="16"/>
    </row>
    <row r="21" spans="1:26" ht="16.5" customHeight="1" x14ac:dyDescent="0.25">
      <c r="A21" s="12" t="s">
        <v>46</v>
      </c>
      <c r="B21" s="13" t="s">
        <v>47</v>
      </c>
      <c r="C21" s="73">
        <f>SUM(C22:C24)</f>
        <v>9872409</v>
      </c>
      <c r="D21" s="43">
        <f>SUM(D22:D24)</f>
        <v>0</v>
      </c>
      <c r="E21" s="43">
        <f>SUM(E22:E24)</f>
        <v>9872409</v>
      </c>
      <c r="F21" s="73">
        <f>SUM(F22:F24)</f>
        <v>787121.61</v>
      </c>
      <c r="G21" s="73">
        <f t="shared" ref="G21:Q21" si="12">SUM(G22:G24)</f>
        <v>785538.16</v>
      </c>
      <c r="H21" s="73">
        <f t="shared" si="12"/>
        <v>781715.66</v>
      </c>
      <c r="I21" s="73">
        <f t="shared" si="12"/>
        <v>787135.74999999988</v>
      </c>
      <c r="J21" s="73">
        <f t="shared" si="12"/>
        <v>798283.24</v>
      </c>
      <c r="K21" s="73">
        <f t="shared" si="12"/>
        <v>804399.24</v>
      </c>
      <c r="L21" s="73">
        <f t="shared" si="12"/>
        <v>794307.84</v>
      </c>
      <c r="M21" s="73">
        <f>SUM(M22:M24)</f>
        <v>801952.84</v>
      </c>
      <c r="N21" s="73">
        <f>SUM(N22:N24)</f>
        <v>0</v>
      </c>
      <c r="O21" s="73">
        <f t="shared" si="12"/>
        <v>0</v>
      </c>
      <c r="P21" s="73">
        <f>SUM(P22:P24)</f>
        <v>0</v>
      </c>
      <c r="Q21" s="73">
        <f t="shared" si="12"/>
        <v>0</v>
      </c>
      <c r="R21" s="73">
        <f t="shared" si="11"/>
        <v>6340454.3399999999</v>
      </c>
      <c r="S21" s="140">
        <f>SUM(S22:S24)</f>
        <v>3531954.66</v>
      </c>
      <c r="T21" s="44"/>
      <c r="U21" s="11"/>
      <c r="V21" s="11"/>
      <c r="W21" s="11"/>
      <c r="X21" s="11"/>
      <c r="Y21" s="11"/>
      <c r="Z21" s="11"/>
    </row>
    <row r="22" spans="1:26" ht="16.5" customHeight="1" x14ac:dyDescent="0.25">
      <c r="A22" s="17" t="s">
        <v>48</v>
      </c>
      <c r="B22" s="45" t="s">
        <v>49</v>
      </c>
      <c r="C22" s="19">
        <v>4604752</v>
      </c>
      <c r="D22" s="20">
        <v>0</v>
      </c>
      <c r="E22" s="20">
        <f t="shared" ref="E22:E24" si="13">C22+D22</f>
        <v>4604752</v>
      </c>
      <c r="F22" s="19">
        <v>365257.75</v>
      </c>
      <c r="G22" s="19">
        <v>364548.75</v>
      </c>
      <c r="H22" s="19">
        <v>362776.25</v>
      </c>
      <c r="I22" s="19">
        <v>365569.36</v>
      </c>
      <c r="J22" s="19">
        <v>370815.96</v>
      </c>
      <c r="K22" s="19">
        <v>373651.96</v>
      </c>
      <c r="L22" s="19">
        <v>368972.56</v>
      </c>
      <c r="M22" s="19">
        <v>372517.56</v>
      </c>
      <c r="N22" s="19"/>
      <c r="O22" s="19"/>
      <c r="P22" s="19"/>
      <c r="Q22" s="19"/>
      <c r="R22" s="19">
        <f t="shared" si="11"/>
        <v>2944110.15</v>
      </c>
      <c r="S22" s="36">
        <f>E22-R22</f>
        <v>1660641.85</v>
      </c>
      <c r="T22" s="25"/>
      <c r="U22" s="11"/>
      <c r="V22" s="11"/>
      <c r="W22" s="11"/>
      <c r="X22" s="11"/>
      <c r="Y22" s="11"/>
      <c r="Z22" s="11"/>
    </row>
    <row r="23" spans="1:26" ht="17.25" customHeight="1" x14ac:dyDescent="0.25">
      <c r="A23" s="17" t="s">
        <v>50</v>
      </c>
      <c r="B23" s="45" t="s">
        <v>51</v>
      </c>
      <c r="C23" s="19">
        <v>4617657</v>
      </c>
      <c r="D23" s="20">
        <v>0</v>
      </c>
      <c r="E23" s="20">
        <f t="shared" si="13"/>
        <v>4617657</v>
      </c>
      <c r="F23" s="19">
        <v>371266.54</v>
      </c>
      <c r="G23" s="19">
        <v>370556.54</v>
      </c>
      <c r="H23" s="19">
        <v>368781.54</v>
      </c>
      <c r="I23" s="19">
        <v>369846.54</v>
      </c>
      <c r="J23" s="19">
        <v>375100.54</v>
      </c>
      <c r="K23" s="19">
        <v>377940.54</v>
      </c>
      <c r="L23" s="19">
        <v>373254.54</v>
      </c>
      <c r="M23" s="19">
        <v>376804.54</v>
      </c>
      <c r="N23" s="19"/>
      <c r="O23" s="19"/>
      <c r="P23" s="19"/>
      <c r="Q23" s="19"/>
      <c r="R23" s="19">
        <f t="shared" si="11"/>
        <v>2983551.32</v>
      </c>
      <c r="S23" s="36">
        <f>E23-R23</f>
        <v>1634105.6800000002</v>
      </c>
      <c r="T23" s="25"/>
      <c r="U23" s="11"/>
      <c r="V23" s="11"/>
      <c r="W23" s="11"/>
      <c r="X23" s="11"/>
      <c r="Y23" s="11"/>
      <c r="Z23" s="11"/>
    </row>
    <row r="24" spans="1:26" ht="16.5" customHeight="1" x14ac:dyDescent="0.25">
      <c r="A24" s="17" t="s">
        <v>52</v>
      </c>
      <c r="B24" s="45" t="s">
        <v>53</v>
      </c>
      <c r="C24" s="19">
        <v>650000</v>
      </c>
      <c r="D24" s="20">
        <v>0</v>
      </c>
      <c r="E24" s="20">
        <f t="shared" si="13"/>
        <v>650000</v>
      </c>
      <c r="F24" s="19">
        <v>50597.32</v>
      </c>
      <c r="G24" s="19">
        <v>50432.87</v>
      </c>
      <c r="H24" s="19">
        <v>50157.87</v>
      </c>
      <c r="I24" s="19">
        <v>51719.85</v>
      </c>
      <c r="J24" s="19">
        <v>52366.74</v>
      </c>
      <c r="K24" s="19">
        <v>52806.74</v>
      </c>
      <c r="L24" s="19">
        <v>52080.74</v>
      </c>
      <c r="M24" s="19">
        <v>52630.74</v>
      </c>
      <c r="N24" s="19"/>
      <c r="O24" s="19"/>
      <c r="P24" s="19"/>
      <c r="Q24" s="19"/>
      <c r="R24" s="19">
        <f t="shared" si="11"/>
        <v>412792.87</v>
      </c>
      <c r="S24" s="36">
        <f>E24-R24</f>
        <v>237207.13</v>
      </c>
      <c r="T24" s="25"/>
      <c r="U24" s="11"/>
      <c r="V24" s="11"/>
      <c r="W24" s="11"/>
      <c r="X24" s="11"/>
      <c r="Y24" s="11"/>
      <c r="Z24" s="11"/>
    </row>
    <row r="25" spans="1:26" ht="18" customHeight="1" x14ac:dyDescent="0.25">
      <c r="A25" s="46">
        <v>2.2000000000000002</v>
      </c>
      <c r="B25" s="47" t="s">
        <v>54</v>
      </c>
      <c r="C25" s="48">
        <f>+C26+C40+C35+C45+C31+C54+C64</f>
        <v>16848494</v>
      </c>
      <c r="D25" s="48">
        <f t="shared" ref="D25:S25" si="14">+D26+D40+D35+D45+D31+D54+D64+D38</f>
        <v>10229326</v>
      </c>
      <c r="E25" s="48">
        <f t="shared" si="14"/>
        <v>27077820</v>
      </c>
      <c r="F25" s="48">
        <f t="shared" si="14"/>
        <v>688596.27</v>
      </c>
      <c r="G25" s="48">
        <f t="shared" si="14"/>
        <v>264413.01</v>
      </c>
      <c r="H25" s="48">
        <f t="shared" si="14"/>
        <v>3791949.6999999997</v>
      </c>
      <c r="I25" s="48">
        <f t="shared" si="14"/>
        <v>424917.07</v>
      </c>
      <c r="J25" s="48">
        <f t="shared" si="14"/>
        <v>1715554.32</v>
      </c>
      <c r="K25" s="48">
        <f t="shared" si="14"/>
        <v>1994089.94</v>
      </c>
      <c r="L25" s="48">
        <f t="shared" si="14"/>
        <v>985892.17999999993</v>
      </c>
      <c r="M25" s="48">
        <f t="shared" si="14"/>
        <v>1460653.94</v>
      </c>
      <c r="N25" s="48">
        <f t="shared" si="14"/>
        <v>0</v>
      </c>
      <c r="O25" s="48">
        <f t="shared" si="14"/>
        <v>0</v>
      </c>
      <c r="P25" s="48">
        <f t="shared" si="14"/>
        <v>0</v>
      </c>
      <c r="Q25" s="48">
        <f t="shared" si="14"/>
        <v>0</v>
      </c>
      <c r="R25" s="48">
        <f t="shared" si="14"/>
        <v>11326066.43</v>
      </c>
      <c r="S25" s="48">
        <f t="shared" si="14"/>
        <v>15751753.57</v>
      </c>
      <c r="T25" s="11"/>
      <c r="U25" s="11"/>
      <c r="V25" s="11"/>
      <c r="W25" s="11"/>
      <c r="X25" s="11"/>
      <c r="Y25" s="11"/>
      <c r="Z25" s="11"/>
    </row>
    <row r="26" spans="1:26" ht="14.25" customHeight="1" x14ac:dyDescent="0.25">
      <c r="A26" s="49" t="s">
        <v>55</v>
      </c>
      <c r="B26" s="50" t="s">
        <v>56</v>
      </c>
      <c r="C26" s="51">
        <f>SUM(C27:C30)</f>
        <v>4200000</v>
      </c>
      <c r="D26" s="51">
        <f>SUM(D27:D30)</f>
        <v>0</v>
      </c>
      <c r="E26" s="51">
        <f>SUM(E27:E30)</f>
        <v>4200000</v>
      </c>
      <c r="F26" s="51">
        <f>SUM(F27:F30)</f>
        <v>564191.27</v>
      </c>
      <c r="G26" s="51">
        <f>SUM(G27:G30)</f>
        <v>36171.910000000003</v>
      </c>
      <c r="H26" s="51">
        <f t="shared" ref="H26:P26" si="15">SUM(H27:H30)</f>
        <v>1054884.97</v>
      </c>
      <c r="I26" s="51">
        <f>SUM(I27:I30)</f>
        <v>40143.85</v>
      </c>
      <c r="J26" s="51">
        <f t="shared" si="15"/>
        <v>153890.58000000002</v>
      </c>
      <c r="K26" s="51">
        <f t="shared" si="15"/>
        <v>272779.36000000004</v>
      </c>
      <c r="L26" s="51">
        <f t="shared" si="15"/>
        <v>163316.54999999999</v>
      </c>
      <c r="M26" s="51">
        <f>SUM(M27:M30)</f>
        <v>588427.31000000006</v>
      </c>
      <c r="N26" s="51">
        <f>SUM(N27:N30)</f>
        <v>0</v>
      </c>
      <c r="O26" s="51">
        <f t="shared" si="15"/>
        <v>0</v>
      </c>
      <c r="P26" s="51">
        <f t="shared" si="15"/>
        <v>0</v>
      </c>
      <c r="Q26" s="51">
        <f>SUM(Q27:Q30)</f>
        <v>0</v>
      </c>
      <c r="R26" s="51">
        <f>SUM(R27:R30)</f>
        <v>2873805.8000000003</v>
      </c>
      <c r="S26" s="52">
        <f>SUM(S27:S30)</f>
        <v>1326194.2</v>
      </c>
      <c r="T26" s="11"/>
      <c r="U26" s="11"/>
      <c r="V26" s="11"/>
      <c r="W26" s="11"/>
      <c r="X26" s="11"/>
      <c r="Y26" s="11"/>
      <c r="Z26" s="11"/>
    </row>
    <row r="27" spans="1:26" ht="16.5" customHeight="1" x14ac:dyDescent="0.25">
      <c r="A27" s="17" t="s">
        <v>57</v>
      </c>
      <c r="B27" s="18" t="s">
        <v>58</v>
      </c>
      <c r="C27" s="19">
        <v>1000000</v>
      </c>
      <c r="D27" s="20"/>
      <c r="E27" s="41">
        <f t="shared" ref="E27:E30" si="16">C27+D27</f>
        <v>1000000</v>
      </c>
      <c r="F27" s="19">
        <v>236327.72</v>
      </c>
      <c r="G27" s="19"/>
      <c r="H27" s="19">
        <v>302101.14</v>
      </c>
      <c r="I27" s="19"/>
      <c r="J27" s="19">
        <v>14292.35</v>
      </c>
      <c r="K27" s="19">
        <v>25712.39</v>
      </c>
      <c r="L27" s="19">
        <v>108886.43</v>
      </c>
      <c r="M27" s="19">
        <v>526929.81000000006</v>
      </c>
      <c r="N27" s="19"/>
      <c r="O27" s="19"/>
      <c r="P27" s="19"/>
      <c r="Q27" s="19"/>
      <c r="R27" s="19">
        <f>SUM(F27:Q27)</f>
        <v>1214249.8400000001</v>
      </c>
      <c r="S27" s="36">
        <f>E27-R27</f>
        <v>-214249.84000000008</v>
      </c>
      <c r="T27" s="11"/>
      <c r="U27" s="11"/>
      <c r="V27" s="11"/>
      <c r="W27" s="11"/>
      <c r="X27" s="11"/>
      <c r="Y27" s="11"/>
      <c r="Z27" s="11"/>
    </row>
    <row r="28" spans="1:26" ht="18" customHeight="1" x14ac:dyDescent="0.25">
      <c r="A28" s="17" t="s">
        <v>59</v>
      </c>
      <c r="B28" s="18" t="s">
        <v>60</v>
      </c>
      <c r="C28" s="19">
        <v>2756000</v>
      </c>
      <c r="D28" s="27"/>
      <c r="E28" s="41">
        <f t="shared" si="16"/>
        <v>2756000</v>
      </c>
      <c r="F28" s="19">
        <v>281297.52</v>
      </c>
      <c r="G28" s="19"/>
      <c r="H28" s="19">
        <v>715442.38</v>
      </c>
      <c r="I28" s="19"/>
      <c r="J28" s="19">
        <v>90354.07</v>
      </c>
      <c r="K28" s="19">
        <v>193000.51</v>
      </c>
      <c r="L28" s="19"/>
      <c r="M28" s="19">
        <v>3351.96</v>
      </c>
      <c r="N28" s="19"/>
      <c r="O28" s="53"/>
      <c r="P28" s="19"/>
      <c r="Q28" s="19"/>
      <c r="R28" s="19">
        <f>SUM(F28:Q28)</f>
        <v>1283446.44</v>
      </c>
      <c r="S28" s="36">
        <f>E28-R28</f>
        <v>1472553.56</v>
      </c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7" t="s">
        <v>61</v>
      </c>
      <c r="B29" s="18" t="s">
        <v>62</v>
      </c>
      <c r="C29" s="19">
        <v>414000</v>
      </c>
      <c r="D29" s="27"/>
      <c r="E29" s="41">
        <f t="shared" si="16"/>
        <v>414000</v>
      </c>
      <c r="F29" s="19">
        <v>46566.03</v>
      </c>
      <c r="G29" s="34">
        <v>34283.910000000003</v>
      </c>
      <c r="H29" s="34">
        <v>36397.449999999997</v>
      </c>
      <c r="I29" s="34">
        <v>39199.85</v>
      </c>
      <c r="J29" s="34">
        <v>48300.160000000003</v>
      </c>
      <c r="K29" s="34">
        <v>53122.46</v>
      </c>
      <c r="L29" s="34">
        <v>53486.12</v>
      </c>
      <c r="M29" s="34">
        <v>57201.54</v>
      </c>
      <c r="N29" s="34"/>
      <c r="O29" s="19"/>
      <c r="P29" s="19"/>
      <c r="Q29" s="19"/>
      <c r="R29" s="19">
        <f>SUM(F29:Q29)</f>
        <v>368557.51999999996</v>
      </c>
      <c r="S29" s="36">
        <f>E29-R29</f>
        <v>45442.48000000004</v>
      </c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7" t="s">
        <v>63</v>
      </c>
      <c r="B30" s="18" t="s">
        <v>64</v>
      </c>
      <c r="C30" s="19">
        <v>30000</v>
      </c>
      <c r="D30" s="54"/>
      <c r="E30" s="41">
        <f t="shared" si="16"/>
        <v>30000</v>
      </c>
      <c r="F30" s="19"/>
      <c r="G30" s="34">
        <v>1888</v>
      </c>
      <c r="H30" s="34">
        <v>944</v>
      </c>
      <c r="I30" s="34">
        <v>944</v>
      </c>
      <c r="J30" s="34">
        <v>944</v>
      </c>
      <c r="K30" s="34">
        <v>944</v>
      </c>
      <c r="L30" s="34">
        <v>944</v>
      </c>
      <c r="M30" s="34">
        <v>944</v>
      </c>
      <c r="N30" s="34"/>
      <c r="O30" s="19"/>
      <c r="P30" s="19"/>
      <c r="Q30" s="19"/>
      <c r="R30" s="19">
        <f>SUM(F30:Q30)</f>
        <v>7552</v>
      </c>
      <c r="S30" s="36">
        <f>E30-R30</f>
        <v>22448</v>
      </c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12" t="s">
        <v>65</v>
      </c>
      <c r="B31" s="50" t="s">
        <v>66</v>
      </c>
      <c r="C31" s="55">
        <f>SUM(C32:C34)</f>
        <v>2051250</v>
      </c>
      <c r="D31" s="55">
        <f t="shared" ref="D31" si="17">SUM(D32:D34)</f>
        <v>306160</v>
      </c>
      <c r="E31" s="55">
        <f>SUM(E32:E34)</f>
        <v>2357410</v>
      </c>
      <c r="F31" s="55">
        <f t="shared" ref="F31:O31" si="18">SUM(F32)</f>
        <v>0</v>
      </c>
      <c r="G31" s="55">
        <f t="shared" si="18"/>
        <v>0</v>
      </c>
      <c r="H31" s="55">
        <f t="shared" si="18"/>
        <v>0</v>
      </c>
      <c r="I31" s="55">
        <f t="shared" si="18"/>
        <v>0</v>
      </c>
      <c r="J31" s="55">
        <f>SUM(J32:J34)</f>
        <v>82128</v>
      </c>
      <c r="K31" s="55">
        <f>SUM(K32:K34)</f>
        <v>0</v>
      </c>
      <c r="L31" s="55">
        <f t="shared" si="18"/>
        <v>87511.63</v>
      </c>
      <c r="M31" s="55">
        <f t="shared" si="18"/>
        <v>67316.639999999999</v>
      </c>
      <c r="N31" s="55">
        <f>SUM(N32+N34)</f>
        <v>0</v>
      </c>
      <c r="O31" s="55">
        <f t="shared" si="18"/>
        <v>0</v>
      </c>
      <c r="P31" s="55">
        <f>SUM(P32+P34)</f>
        <v>0</v>
      </c>
      <c r="Q31" s="55">
        <f>SUM(Q32+Q34)</f>
        <v>0</v>
      </c>
      <c r="R31" s="55">
        <f>SUM(R32+R34+R33)</f>
        <v>236956.27000000002</v>
      </c>
      <c r="S31" s="56">
        <f>SUM(S32+S34+S33)</f>
        <v>2120453.73</v>
      </c>
      <c r="T31" s="11"/>
      <c r="U31" s="11"/>
      <c r="V31" s="11"/>
      <c r="W31" s="11"/>
      <c r="X31" s="11"/>
      <c r="Y31" s="11"/>
      <c r="Z31" s="11"/>
    </row>
    <row r="32" spans="1:26" ht="17.25" customHeight="1" x14ac:dyDescent="0.25">
      <c r="A32" s="17" t="s">
        <v>67</v>
      </c>
      <c r="B32" s="18" t="s">
        <v>68</v>
      </c>
      <c r="C32" s="27">
        <v>308000</v>
      </c>
      <c r="D32" s="27">
        <v>306160</v>
      </c>
      <c r="E32" s="20">
        <f>C32+D32</f>
        <v>614160</v>
      </c>
      <c r="F32" s="20"/>
      <c r="G32" s="27"/>
      <c r="H32" s="27"/>
      <c r="I32" s="27"/>
      <c r="J32" s="27">
        <v>51448</v>
      </c>
      <c r="K32" s="27"/>
      <c r="L32" s="27">
        <v>87511.63</v>
      </c>
      <c r="M32" s="27">
        <v>67316.639999999999</v>
      </c>
      <c r="N32" s="27"/>
      <c r="O32" s="27"/>
      <c r="P32" s="27"/>
      <c r="Q32" s="27"/>
      <c r="R32" s="27">
        <f>SUM(F32:Q32)</f>
        <v>206276.27000000002</v>
      </c>
      <c r="S32" s="57">
        <f>E32-R32</f>
        <v>407883.73</v>
      </c>
      <c r="T32" s="58"/>
      <c r="U32" s="58"/>
      <c r="V32" s="58"/>
      <c r="W32" s="58"/>
      <c r="X32" s="58"/>
      <c r="Y32" s="58"/>
      <c r="Z32" s="58"/>
    </row>
    <row r="33" spans="1:26" ht="17.25" customHeight="1" x14ac:dyDescent="0.25">
      <c r="A33" s="17" t="s">
        <v>361</v>
      </c>
      <c r="B33" s="18" t="s">
        <v>362</v>
      </c>
      <c r="C33" s="27">
        <v>550000</v>
      </c>
      <c r="D33" s="27"/>
      <c r="E33" s="20">
        <f>C33+D33</f>
        <v>550000</v>
      </c>
      <c r="F33" s="20"/>
      <c r="G33" s="27"/>
      <c r="H33" s="27"/>
      <c r="I33" s="27"/>
      <c r="J33" s="27">
        <v>0</v>
      </c>
      <c r="K33" s="27"/>
      <c r="L33" s="27"/>
      <c r="M33" s="27"/>
      <c r="N33" s="27"/>
      <c r="O33" s="27"/>
      <c r="P33" s="27"/>
      <c r="Q33" s="27"/>
      <c r="R33" s="27">
        <f>SUM(F33:Q33)</f>
        <v>0</v>
      </c>
      <c r="S33" s="57">
        <f>E33-R33</f>
        <v>550000</v>
      </c>
      <c r="T33" s="58"/>
      <c r="U33" s="58"/>
      <c r="V33" s="58"/>
      <c r="W33" s="58"/>
      <c r="X33" s="58"/>
      <c r="Y33" s="58"/>
      <c r="Z33" s="58"/>
    </row>
    <row r="34" spans="1:26" ht="17.25" customHeight="1" x14ac:dyDescent="0.25">
      <c r="A34" s="17" t="s">
        <v>69</v>
      </c>
      <c r="B34" s="18" t="s">
        <v>70</v>
      </c>
      <c r="C34" s="27">
        <v>1193250</v>
      </c>
      <c r="D34" s="27">
        <v>0</v>
      </c>
      <c r="E34" s="20">
        <f>C34+D34</f>
        <v>1193250</v>
      </c>
      <c r="F34" s="20"/>
      <c r="G34" s="27"/>
      <c r="H34" s="27"/>
      <c r="I34" s="27"/>
      <c r="J34" s="27">
        <v>30680</v>
      </c>
      <c r="K34" s="27"/>
      <c r="L34" s="27"/>
      <c r="M34" s="27"/>
      <c r="N34" s="27"/>
      <c r="O34" s="27"/>
      <c r="P34" s="27"/>
      <c r="Q34" s="27"/>
      <c r="R34" s="27">
        <f>SUM(F34:Q34)</f>
        <v>30680</v>
      </c>
      <c r="S34" s="57">
        <f>E34-R34</f>
        <v>1162570</v>
      </c>
      <c r="T34" s="58"/>
      <c r="U34" s="58"/>
      <c r="V34" s="58"/>
      <c r="W34" s="58"/>
      <c r="X34" s="58"/>
      <c r="Y34" s="58"/>
      <c r="Z34" s="58"/>
    </row>
    <row r="35" spans="1:26" ht="15" customHeight="1" x14ac:dyDescent="0.25">
      <c r="A35" s="59" t="s">
        <v>71</v>
      </c>
      <c r="B35" s="50" t="s">
        <v>72</v>
      </c>
      <c r="C35" s="51">
        <f>+C36+C37</f>
        <v>1000000</v>
      </c>
      <c r="D35" s="55">
        <f>D36+D37</f>
        <v>184170</v>
      </c>
      <c r="E35" s="55">
        <f>E36+E37</f>
        <v>1184170</v>
      </c>
      <c r="F35" s="51">
        <f t="shared" ref="F35:G35" si="19">+F36+F37</f>
        <v>100805</v>
      </c>
      <c r="G35" s="51">
        <f t="shared" si="19"/>
        <v>178060</v>
      </c>
      <c r="H35" s="51">
        <f>SUM(H36:H37)</f>
        <v>419782.5</v>
      </c>
      <c r="I35" s="51">
        <f>SUM(I36:I37)</f>
        <v>213535</v>
      </c>
      <c r="J35" s="51">
        <f t="shared" ref="J35:P35" si="20">SUM(J36:J37)</f>
        <v>49000</v>
      </c>
      <c r="K35" s="51">
        <f>SUM(K36:K37)</f>
        <v>63480</v>
      </c>
      <c r="L35" s="51">
        <f t="shared" si="20"/>
        <v>149497</v>
      </c>
      <c r="M35" s="51">
        <f t="shared" si="20"/>
        <v>0</v>
      </c>
      <c r="N35" s="51">
        <f t="shared" si="20"/>
        <v>0</v>
      </c>
      <c r="O35" s="51">
        <f t="shared" si="20"/>
        <v>0</v>
      </c>
      <c r="P35" s="51">
        <f t="shared" si="20"/>
        <v>0</v>
      </c>
      <c r="Q35" s="51">
        <f>SUM(Q36:Q37)</f>
        <v>0</v>
      </c>
      <c r="R35" s="51">
        <f>R36+R37</f>
        <v>1174159.5</v>
      </c>
      <c r="S35" s="52">
        <f>SUM(S36:S37)</f>
        <v>10010.5</v>
      </c>
      <c r="T35" s="11"/>
      <c r="U35" s="11"/>
      <c r="V35" s="11"/>
      <c r="W35" s="11"/>
      <c r="X35" s="11"/>
      <c r="Y35" s="11"/>
      <c r="Z35" s="11"/>
    </row>
    <row r="36" spans="1:26" ht="14.25" customHeight="1" x14ac:dyDescent="0.25">
      <c r="A36" s="17" t="s">
        <v>73</v>
      </c>
      <c r="B36" s="18" t="s">
        <v>74</v>
      </c>
      <c r="C36" s="19">
        <v>900000</v>
      </c>
      <c r="D36" s="27">
        <v>184170</v>
      </c>
      <c r="E36" s="27">
        <f t="shared" ref="E36:E37" si="21">C36+D36</f>
        <v>1084170</v>
      </c>
      <c r="F36" s="60">
        <v>100805</v>
      </c>
      <c r="G36" s="61">
        <v>178060</v>
      </c>
      <c r="H36" s="62">
        <v>419782.5</v>
      </c>
      <c r="I36" s="62">
        <v>213535</v>
      </c>
      <c r="J36" s="62">
        <v>49000</v>
      </c>
      <c r="K36" s="62">
        <v>63480</v>
      </c>
      <c r="L36" s="62">
        <v>149497</v>
      </c>
      <c r="M36" s="62"/>
      <c r="N36" s="62"/>
      <c r="O36" s="62"/>
      <c r="P36" s="62"/>
      <c r="Q36" s="62"/>
      <c r="R36" s="135">
        <f>SUM(F36:Q36)</f>
        <v>1174159.5</v>
      </c>
      <c r="S36" s="36">
        <f>E36-R36</f>
        <v>-89989.5</v>
      </c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17" t="s">
        <v>75</v>
      </c>
      <c r="B37" s="18" t="s">
        <v>76</v>
      </c>
      <c r="C37" s="19">
        <v>100000</v>
      </c>
      <c r="D37" s="27"/>
      <c r="E37" s="20">
        <f t="shared" si="21"/>
        <v>100000</v>
      </c>
      <c r="F37" s="62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f>SUM(F37:Q37)</f>
        <v>0</v>
      </c>
      <c r="S37" s="36">
        <f>E37-R37</f>
        <v>100000</v>
      </c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59" t="s">
        <v>77</v>
      </c>
      <c r="B38" s="50" t="s">
        <v>388</v>
      </c>
      <c r="C38" s="51"/>
      <c r="D38" s="55">
        <f>D39</f>
        <v>500000</v>
      </c>
      <c r="E38" s="55">
        <f>+E39</f>
        <v>500000</v>
      </c>
      <c r="F38" s="51">
        <f>+F39</f>
        <v>0</v>
      </c>
      <c r="G38" s="51">
        <f>+G39</f>
        <v>0</v>
      </c>
      <c r="H38" s="51">
        <f>+H39</f>
        <v>0</v>
      </c>
      <c r="I38" s="51">
        <f>SUM(I39)</f>
        <v>0</v>
      </c>
      <c r="J38" s="51">
        <f>SUM(J39)</f>
        <v>0</v>
      </c>
      <c r="K38" s="51">
        <f>SUM(K39)</f>
        <v>0</v>
      </c>
      <c r="L38" s="51">
        <f>SUM(L39)</f>
        <v>0</v>
      </c>
      <c r="M38" s="51">
        <f t="shared" ref="M38:P38" si="22">SUM(M39:M40)</f>
        <v>0</v>
      </c>
      <c r="N38" s="51">
        <f t="shared" si="22"/>
        <v>0</v>
      </c>
      <c r="O38" s="51">
        <f t="shared" si="22"/>
        <v>0</v>
      </c>
      <c r="P38" s="51">
        <f t="shared" si="22"/>
        <v>0</v>
      </c>
      <c r="Q38" s="51">
        <f>SUM(Q39:Q40)</f>
        <v>0</v>
      </c>
      <c r="R38" s="51">
        <f>R39</f>
        <v>0</v>
      </c>
      <c r="S38" s="52">
        <f>SUM(S39)</f>
        <v>500000</v>
      </c>
      <c r="T38" s="11"/>
      <c r="U38" s="11"/>
      <c r="V38" s="11"/>
      <c r="W38" s="11"/>
      <c r="X38" s="11"/>
      <c r="Y38" s="11"/>
      <c r="Z38" s="11"/>
    </row>
    <row r="39" spans="1:26" ht="14.25" customHeight="1" x14ac:dyDescent="0.25">
      <c r="A39" s="17" t="s">
        <v>79</v>
      </c>
      <c r="B39" s="18" t="s">
        <v>80</v>
      </c>
      <c r="C39" s="19"/>
      <c r="D39" s="27">
        <v>500000</v>
      </c>
      <c r="E39" s="27">
        <f t="shared" ref="E39" si="23">C39+D39</f>
        <v>500000</v>
      </c>
      <c r="F39" s="60"/>
      <c r="G39" s="61">
        <v>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9">
        <f>SUM(F39:Q39)</f>
        <v>0</v>
      </c>
      <c r="S39" s="36">
        <f>E39-R39</f>
        <v>500000</v>
      </c>
      <c r="T39" s="11"/>
      <c r="U39" s="11"/>
      <c r="V39" s="11"/>
      <c r="W39" s="11"/>
      <c r="X39" s="11"/>
      <c r="Y39" s="11"/>
      <c r="Z39" s="11"/>
    </row>
    <row r="40" spans="1:26" ht="17.25" customHeight="1" x14ac:dyDescent="0.25">
      <c r="A40" s="49" t="s">
        <v>82</v>
      </c>
      <c r="B40" s="50" t="s">
        <v>83</v>
      </c>
      <c r="C40" s="51">
        <f>SUM(C41:C44)</f>
        <v>1200000</v>
      </c>
      <c r="D40" s="51">
        <f>SUM(D41:D44)</f>
        <v>6706746</v>
      </c>
      <c r="E40" s="51">
        <f t="shared" ref="E40" si="24">SUM(E41:E44)</f>
        <v>7906746</v>
      </c>
      <c r="F40" s="51">
        <f>SUM(F41:F44)</f>
        <v>23600</v>
      </c>
      <c r="G40" s="51">
        <f>SUM(G41:G44)</f>
        <v>50181.1</v>
      </c>
      <c r="H40" s="51">
        <f>SUM(H41:H44)</f>
        <v>1562524.38</v>
      </c>
      <c r="I40" s="51">
        <f t="shared" ref="I40:Q40" si="25">SUM(I41:I44)</f>
        <v>134182.6</v>
      </c>
      <c r="J40" s="51">
        <f t="shared" si="25"/>
        <v>127412.1</v>
      </c>
      <c r="K40" s="51">
        <f>SUM(K41:K44)</f>
        <v>123955.29000000001</v>
      </c>
      <c r="L40" s="51">
        <f t="shared" si="25"/>
        <v>114023.4</v>
      </c>
      <c r="M40" s="51">
        <f t="shared" si="25"/>
        <v>0</v>
      </c>
      <c r="N40" s="51">
        <f t="shared" si="25"/>
        <v>0</v>
      </c>
      <c r="O40" s="51">
        <f t="shared" si="25"/>
        <v>0</v>
      </c>
      <c r="P40" s="51">
        <f t="shared" si="25"/>
        <v>0</v>
      </c>
      <c r="Q40" s="51">
        <f t="shared" si="25"/>
        <v>0</v>
      </c>
      <c r="R40" s="51">
        <f>SUM(R41:R44)</f>
        <v>2135878.87</v>
      </c>
      <c r="S40" s="52">
        <f>SUM(S41:S44)</f>
        <v>5770867.1299999999</v>
      </c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7" t="s">
        <v>84</v>
      </c>
      <c r="B41" s="18" t="s">
        <v>85</v>
      </c>
      <c r="C41" s="19">
        <v>1200000</v>
      </c>
      <c r="D41" s="27">
        <v>0</v>
      </c>
      <c r="E41" s="41">
        <f t="shared" ref="E41:E44" si="26">C41+D41</f>
        <v>1200000</v>
      </c>
      <c r="F41" s="19">
        <v>23600</v>
      </c>
      <c r="G41" s="19">
        <v>50181.1</v>
      </c>
      <c r="H41" s="19">
        <v>137623.4</v>
      </c>
      <c r="I41" s="19">
        <v>65583.3</v>
      </c>
      <c r="J41" s="19">
        <v>59621.1</v>
      </c>
      <c r="K41" s="19">
        <v>78501.100000000006</v>
      </c>
      <c r="L41" s="19">
        <v>114023.4</v>
      </c>
      <c r="M41" s="19"/>
      <c r="N41" s="19"/>
      <c r="O41" s="19"/>
      <c r="P41" s="19"/>
      <c r="Q41" s="19"/>
      <c r="R41" s="19">
        <f t="shared" ref="R41:R44" si="27">SUM(F41:Q41)</f>
        <v>529133.4</v>
      </c>
      <c r="S41" s="36">
        <f t="shared" ref="S41:S44" si="28">E41-R41</f>
        <v>670866.6</v>
      </c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7" t="s">
        <v>86</v>
      </c>
      <c r="B42" s="18" t="s">
        <v>380</v>
      </c>
      <c r="C42" s="19"/>
      <c r="D42" s="27">
        <v>406746</v>
      </c>
      <c r="E42" s="41">
        <f t="shared" si="26"/>
        <v>406746</v>
      </c>
      <c r="F42" s="19"/>
      <c r="G42" s="19"/>
      <c r="H42" s="19">
        <v>224901.51</v>
      </c>
      <c r="I42" s="19">
        <v>68599.3</v>
      </c>
      <c r="J42" s="19">
        <v>67791</v>
      </c>
      <c r="K42" s="19">
        <v>45454.19</v>
      </c>
      <c r="L42" s="19"/>
      <c r="M42" s="19"/>
      <c r="N42" s="19"/>
      <c r="O42" s="19"/>
      <c r="P42" s="19"/>
      <c r="Q42" s="19"/>
      <c r="R42" s="19">
        <f t="shared" si="27"/>
        <v>406746</v>
      </c>
      <c r="S42" s="36">
        <f t="shared" si="28"/>
        <v>0</v>
      </c>
      <c r="T42" s="11"/>
      <c r="U42" s="11"/>
      <c r="V42" s="11"/>
      <c r="W42" s="11"/>
      <c r="X42" s="11"/>
      <c r="Y42" s="11"/>
      <c r="Z42" s="11"/>
    </row>
    <row r="43" spans="1:26" ht="27.75" customHeight="1" x14ac:dyDescent="0.25">
      <c r="A43" s="17" t="s">
        <v>87</v>
      </c>
      <c r="B43" s="64" t="s">
        <v>381</v>
      </c>
      <c r="C43" s="19"/>
      <c r="D43" s="27">
        <v>6300000</v>
      </c>
      <c r="E43" s="41">
        <f t="shared" si="26"/>
        <v>6300000</v>
      </c>
      <c r="F43" s="19"/>
      <c r="G43" s="19"/>
      <c r="H43" s="19">
        <v>1199999.47</v>
      </c>
      <c r="I43" s="19"/>
      <c r="J43" s="19"/>
      <c r="K43" s="19"/>
      <c r="L43" s="19"/>
      <c r="M43" s="19"/>
      <c r="N43" s="19"/>
      <c r="O43" s="19"/>
      <c r="P43" s="19"/>
      <c r="Q43" s="19"/>
      <c r="R43" s="19">
        <f t="shared" si="27"/>
        <v>1199999.47</v>
      </c>
      <c r="S43" s="36">
        <f t="shared" si="28"/>
        <v>5100000.53</v>
      </c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7" t="s">
        <v>379</v>
      </c>
      <c r="B44" s="18" t="s">
        <v>382</v>
      </c>
      <c r="C44" s="19"/>
      <c r="D44" s="27">
        <v>0</v>
      </c>
      <c r="E44" s="41">
        <f t="shared" si="26"/>
        <v>0</v>
      </c>
      <c r="F44" s="19"/>
      <c r="G44" s="19"/>
      <c r="H44" s="19">
        <v>0</v>
      </c>
      <c r="I44" s="19"/>
      <c r="J44" s="19"/>
      <c r="K44" s="19"/>
      <c r="L44" s="19"/>
      <c r="M44" s="19"/>
      <c r="N44" s="19"/>
      <c r="O44" s="19"/>
      <c r="P44" s="19"/>
      <c r="Q44" s="19"/>
      <c r="R44" s="19">
        <f t="shared" si="27"/>
        <v>0</v>
      </c>
      <c r="S44" s="36">
        <f t="shared" si="28"/>
        <v>0</v>
      </c>
      <c r="T44" s="11"/>
      <c r="U44" s="11"/>
      <c r="V44" s="11"/>
      <c r="W44" s="11"/>
      <c r="X44" s="11"/>
      <c r="Y44" s="11"/>
      <c r="Z44" s="11"/>
    </row>
    <row r="45" spans="1:26" ht="32.25" customHeight="1" x14ac:dyDescent="0.25">
      <c r="A45" s="49" t="s">
        <v>89</v>
      </c>
      <c r="B45" s="66" t="s">
        <v>90</v>
      </c>
      <c r="C45" s="73">
        <f>SUM(C46:C53)</f>
        <v>900000</v>
      </c>
      <c r="D45" s="67">
        <f>SUM(D46:D53)</f>
        <v>1887250</v>
      </c>
      <c r="E45" s="73">
        <f>SUM(E46:E53)</f>
        <v>2787250</v>
      </c>
      <c r="F45" s="73">
        <f t="shared" ref="F45:I45" si="29">SUM(F46:F52)</f>
        <v>0</v>
      </c>
      <c r="G45" s="73">
        <f t="shared" si="29"/>
        <v>0</v>
      </c>
      <c r="H45" s="73">
        <f>SUM(H46:H53)</f>
        <v>228890.85</v>
      </c>
      <c r="I45" s="73">
        <f t="shared" si="29"/>
        <v>37055.620000000003</v>
      </c>
      <c r="J45" s="73">
        <f>SUM(J46:J53)</f>
        <v>314821.71999999997</v>
      </c>
      <c r="K45" s="73">
        <f t="shared" ref="K45:Q45" si="30">SUM(K46:K53)</f>
        <v>798270</v>
      </c>
      <c r="L45" s="73">
        <f t="shared" si="30"/>
        <v>123361</v>
      </c>
      <c r="M45" s="73">
        <f t="shared" si="30"/>
        <v>205000</v>
      </c>
      <c r="N45" s="73">
        <f t="shared" si="30"/>
        <v>0</v>
      </c>
      <c r="O45" s="73">
        <f t="shared" si="30"/>
        <v>0</v>
      </c>
      <c r="P45" s="73">
        <f t="shared" si="30"/>
        <v>0</v>
      </c>
      <c r="Q45" s="73">
        <f t="shared" si="30"/>
        <v>0</v>
      </c>
      <c r="R45" s="73">
        <f>SUM(R46:R53)</f>
        <v>1707399.1900000002</v>
      </c>
      <c r="S45" s="140">
        <f>SUM(S46:S53)</f>
        <v>1079850.81</v>
      </c>
      <c r="T45" s="11"/>
      <c r="U45" s="11"/>
      <c r="V45" s="11"/>
      <c r="W45" s="11"/>
      <c r="X45" s="11"/>
      <c r="Y45" s="11"/>
      <c r="Z45" s="11"/>
    </row>
    <row r="46" spans="1:26" ht="35.25" customHeight="1" x14ac:dyDescent="0.25">
      <c r="A46" s="17" t="s">
        <v>91</v>
      </c>
      <c r="B46" s="64" t="s">
        <v>408</v>
      </c>
      <c r="C46" s="27"/>
      <c r="D46" s="27">
        <v>730250</v>
      </c>
      <c r="E46" s="68">
        <f>+C46+D46</f>
        <v>730250</v>
      </c>
      <c r="F46" s="27"/>
      <c r="G46" s="65"/>
      <c r="H46" s="27"/>
      <c r="I46" s="27"/>
      <c r="J46" s="70">
        <v>204966</v>
      </c>
      <c r="K46" s="65"/>
      <c r="L46" s="70">
        <v>112926</v>
      </c>
      <c r="M46" s="70">
        <v>205000</v>
      </c>
      <c r="N46" s="65"/>
      <c r="O46" s="65"/>
      <c r="P46" s="65"/>
      <c r="Q46" s="65"/>
      <c r="R46" s="69">
        <f>SUM(F46:Q46)</f>
        <v>522892</v>
      </c>
      <c r="S46" s="71">
        <f>E46-R46</f>
        <v>207358</v>
      </c>
      <c r="T46" s="58"/>
      <c r="U46" s="58"/>
      <c r="V46" s="58"/>
      <c r="W46" s="58"/>
      <c r="X46" s="58"/>
      <c r="Y46" s="58"/>
      <c r="Z46" s="58"/>
    </row>
    <row r="47" spans="1:26" ht="31.5" customHeight="1" x14ac:dyDescent="0.25">
      <c r="A47" s="17" t="s">
        <v>93</v>
      </c>
      <c r="B47" s="64" t="s">
        <v>94</v>
      </c>
      <c r="C47" s="27"/>
      <c r="D47" s="27">
        <v>500000</v>
      </c>
      <c r="E47" s="68">
        <f>+C47+D47</f>
        <v>500000</v>
      </c>
      <c r="F47" s="69"/>
      <c r="G47" s="65"/>
      <c r="H47" s="65"/>
      <c r="I47" s="27"/>
      <c r="J47" s="65"/>
      <c r="K47" s="65"/>
      <c r="L47" s="65"/>
      <c r="M47" s="65"/>
      <c r="N47" s="65"/>
      <c r="O47" s="65"/>
      <c r="P47" s="65"/>
      <c r="Q47" s="70"/>
      <c r="R47" s="69">
        <f>SUM(F47:Q47)</f>
        <v>0</v>
      </c>
      <c r="S47" s="71">
        <f>E47-R47</f>
        <v>500000</v>
      </c>
      <c r="T47" s="58"/>
      <c r="U47" s="58"/>
      <c r="V47" s="58"/>
      <c r="W47" s="58"/>
      <c r="X47" s="58"/>
      <c r="Y47" s="58"/>
      <c r="Z47" s="58"/>
    </row>
    <row r="48" spans="1:26" ht="27" hidden="1" customHeight="1" x14ac:dyDescent="0.25">
      <c r="A48" s="17" t="s">
        <v>95</v>
      </c>
      <c r="B48" s="64" t="s">
        <v>96</v>
      </c>
      <c r="C48" s="27"/>
      <c r="D48" s="20"/>
      <c r="E48" s="68"/>
      <c r="F48" s="65"/>
      <c r="G48" s="65"/>
      <c r="H48" s="27"/>
      <c r="I48" s="27"/>
      <c r="J48" s="27"/>
      <c r="K48" s="27"/>
      <c r="L48" s="27"/>
      <c r="M48" s="27"/>
      <c r="N48" s="27"/>
      <c r="O48" s="27"/>
      <c r="P48" s="27"/>
      <c r="Q48" s="70"/>
      <c r="R48" s="69"/>
      <c r="S48" s="71"/>
      <c r="T48" s="58"/>
      <c r="U48" s="58"/>
      <c r="V48" s="58"/>
      <c r="W48" s="58"/>
      <c r="X48" s="58"/>
      <c r="Y48" s="58"/>
      <c r="Z48" s="58"/>
    </row>
    <row r="49" spans="1:26" ht="30.75" customHeight="1" x14ac:dyDescent="0.25">
      <c r="A49" s="17" t="s">
        <v>97</v>
      </c>
      <c r="B49" s="64" t="s">
        <v>98</v>
      </c>
      <c r="C49" s="27">
        <v>200000</v>
      </c>
      <c r="D49" s="27">
        <v>-110000</v>
      </c>
      <c r="E49" s="68">
        <f t="shared" ref="E49:E52" si="31">C49+D49</f>
        <v>90000</v>
      </c>
      <c r="F49" s="65"/>
      <c r="G49" s="27"/>
      <c r="H49" s="27">
        <v>29470.85</v>
      </c>
      <c r="I49" s="27"/>
      <c r="J49" s="27"/>
      <c r="K49" s="27"/>
      <c r="L49" s="65"/>
      <c r="M49" s="27"/>
      <c r="N49" s="27"/>
      <c r="O49" s="27"/>
      <c r="P49" s="27"/>
      <c r="Q49" s="70"/>
      <c r="R49" s="27">
        <f>SUM(F49:Q49)</f>
        <v>29470.85</v>
      </c>
      <c r="S49" s="36">
        <f>E49-R49</f>
        <v>60529.15</v>
      </c>
      <c r="T49" s="58"/>
      <c r="U49" s="58"/>
      <c r="V49" s="58"/>
      <c r="W49" s="58"/>
      <c r="X49" s="58"/>
      <c r="Y49" s="58"/>
      <c r="Z49" s="58"/>
    </row>
    <row r="50" spans="1:26" ht="30.75" customHeight="1" x14ac:dyDescent="0.25">
      <c r="A50" s="17" t="s">
        <v>413</v>
      </c>
      <c r="B50" s="64" t="s">
        <v>414</v>
      </c>
      <c r="C50" s="27"/>
      <c r="D50" s="27">
        <v>200000</v>
      </c>
      <c r="E50" s="68">
        <f>C50+D50</f>
        <v>200000</v>
      </c>
      <c r="F50" s="65"/>
      <c r="G50" s="27"/>
      <c r="H50" s="27"/>
      <c r="I50" s="27"/>
      <c r="J50" s="27"/>
      <c r="K50" s="27"/>
      <c r="L50" s="65"/>
      <c r="M50" s="27"/>
      <c r="N50" s="27"/>
      <c r="O50" s="27"/>
      <c r="P50" s="27"/>
      <c r="Q50" s="70"/>
      <c r="R50" s="27">
        <f>SUM(F50:Q50)</f>
        <v>0</v>
      </c>
      <c r="S50" s="36">
        <f>E50-R50</f>
        <v>200000</v>
      </c>
      <c r="T50" s="58"/>
      <c r="U50" s="58"/>
      <c r="V50" s="58"/>
      <c r="W50" s="58"/>
      <c r="X50" s="58"/>
      <c r="Y50" s="58"/>
      <c r="Z50" s="58"/>
    </row>
    <row r="51" spans="1:26" ht="26.25" hidden="1" customHeight="1" x14ac:dyDescent="0.25">
      <c r="A51" s="17" t="s">
        <v>99</v>
      </c>
      <c r="B51" s="64" t="s">
        <v>100</v>
      </c>
      <c r="C51" s="27">
        <v>0</v>
      </c>
      <c r="D51" s="20"/>
      <c r="E51" s="68">
        <f t="shared" si="31"/>
        <v>0</v>
      </c>
      <c r="F51" s="65"/>
      <c r="G51" s="65"/>
      <c r="H51" s="65"/>
      <c r="I51" s="27"/>
      <c r="J51" s="65"/>
      <c r="K51" s="65"/>
      <c r="L51" s="65"/>
      <c r="M51" s="65"/>
      <c r="N51" s="65"/>
      <c r="O51" s="65"/>
      <c r="P51" s="65"/>
      <c r="Q51" s="65"/>
      <c r="R51" s="27">
        <f>SUM(F51:Q51)</f>
        <v>0</v>
      </c>
      <c r="S51" s="71">
        <f>E51-R51</f>
        <v>0</v>
      </c>
      <c r="T51" s="58"/>
      <c r="U51" s="58"/>
      <c r="V51" s="58"/>
      <c r="W51" s="58"/>
      <c r="X51" s="58"/>
      <c r="Y51" s="58"/>
      <c r="Z51" s="58"/>
    </row>
    <row r="52" spans="1:26" ht="30" x14ac:dyDescent="0.25">
      <c r="A52" s="17" t="s">
        <v>101</v>
      </c>
      <c r="B52" s="72" t="s">
        <v>102</v>
      </c>
      <c r="C52" s="27">
        <v>600000</v>
      </c>
      <c r="D52" s="27"/>
      <c r="E52" s="68">
        <f t="shared" si="31"/>
        <v>600000</v>
      </c>
      <c r="F52" s="27"/>
      <c r="G52" s="27"/>
      <c r="H52" s="27">
        <v>199420</v>
      </c>
      <c r="I52" s="27">
        <v>37055.620000000003</v>
      </c>
      <c r="J52" s="27">
        <v>4070.4</v>
      </c>
      <c r="K52" s="27">
        <v>349280</v>
      </c>
      <c r="L52" s="27">
        <v>10435</v>
      </c>
      <c r="M52" s="27"/>
      <c r="N52" s="27"/>
      <c r="O52" s="27"/>
      <c r="P52" s="27"/>
      <c r="Q52" s="27"/>
      <c r="R52" s="27">
        <f>SUM(F52:Q52)</f>
        <v>600261.02</v>
      </c>
      <c r="S52" s="57">
        <f>E52-R52</f>
        <v>-261.02000000001863</v>
      </c>
      <c r="T52" s="58"/>
      <c r="U52" s="58"/>
      <c r="V52" s="58"/>
      <c r="W52" s="58"/>
      <c r="X52" s="58"/>
      <c r="Y52" s="58"/>
      <c r="Z52" s="58"/>
    </row>
    <row r="53" spans="1:26" ht="31.5" customHeight="1" x14ac:dyDescent="0.25">
      <c r="A53" s="17" t="s">
        <v>103</v>
      </c>
      <c r="B53" s="72" t="s">
        <v>104</v>
      </c>
      <c r="C53" s="27">
        <v>100000</v>
      </c>
      <c r="D53" s="27">
        <v>567000</v>
      </c>
      <c r="E53" s="68">
        <f>C53+D53</f>
        <v>667000</v>
      </c>
      <c r="F53" s="27"/>
      <c r="G53" s="27"/>
      <c r="H53" s="27"/>
      <c r="I53" s="27"/>
      <c r="J53" s="27">
        <v>105785.32</v>
      </c>
      <c r="K53" s="27">
        <v>448990</v>
      </c>
      <c r="L53" s="27"/>
      <c r="M53" s="27"/>
      <c r="N53" s="27"/>
      <c r="O53" s="27"/>
      <c r="P53" s="27"/>
      <c r="Q53" s="27"/>
      <c r="R53" s="27">
        <f>SUM(F53:Q53)</f>
        <v>554775.32000000007</v>
      </c>
      <c r="S53" s="71">
        <f>E53-R53</f>
        <v>112224.67999999993</v>
      </c>
      <c r="T53" s="58"/>
      <c r="U53" s="58"/>
      <c r="V53" s="58"/>
      <c r="W53" s="58"/>
      <c r="X53" s="58"/>
      <c r="Y53" s="58"/>
      <c r="Z53" s="58"/>
    </row>
    <row r="54" spans="1:26" ht="34.5" customHeight="1" x14ac:dyDescent="0.25">
      <c r="A54" s="12" t="s">
        <v>105</v>
      </c>
      <c r="B54" s="66" t="s">
        <v>106</v>
      </c>
      <c r="C54" s="73">
        <f>SUM(C55:C63)</f>
        <v>5997244</v>
      </c>
      <c r="D54" s="73">
        <f>SUM(D55:D63)</f>
        <v>440000</v>
      </c>
      <c r="E54" s="73">
        <f>SUM(E55:E63)</f>
        <v>6437244</v>
      </c>
      <c r="F54" s="73">
        <f t="shared" ref="F54:Q54" si="32">SUM(F55:F63)</f>
        <v>0</v>
      </c>
      <c r="G54" s="73">
        <f t="shared" si="32"/>
        <v>0</v>
      </c>
      <c r="H54" s="73">
        <f t="shared" si="32"/>
        <v>525867</v>
      </c>
      <c r="I54" s="73">
        <f t="shared" si="32"/>
        <v>0</v>
      </c>
      <c r="J54" s="73">
        <f t="shared" si="32"/>
        <v>697862.62</v>
      </c>
      <c r="K54" s="73">
        <f t="shared" si="32"/>
        <v>402131.39</v>
      </c>
      <c r="L54" s="73">
        <f t="shared" si="32"/>
        <v>0</v>
      </c>
      <c r="M54" s="73">
        <f>SUM(M55:M63)</f>
        <v>84249.989999999991</v>
      </c>
      <c r="N54" s="73">
        <f t="shared" si="32"/>
        <v>0</v>
      </c>
      <c r="O54" s="73">
        <f t="shared" si="32"/>
        <v>0</v>
      </c>
      <c r="P54" s="73">
        <f t="shared" si="32"/>
        <v>0</v>
      </c>
      <c r="Q54" s="73">
        <f t="shared" si="32"/>
        <v>0</v>
      </c>
      <c r="R54" s="73">
        <f>SUM(R55:R63)</f>
        <v>1710111</v>
      </c>
      <c r="S54" s="73">
        <f>SUM(S55:S63)</f>
        <v>4727133</v>
      </c>
      <c r="T54" s="11"/>
      <c r="U54" s="11"/>
      <c r="V54" s="11"/>
      <c r="W54" s="11"/>
      <c r="X54" s="11"/>
      <c r="Y54" s="11"/>
      <c r="Z54" s="11"/>
    </row>
    <row r="55" spans="1:26" s="79" customFormat="1" ht="17.25" customHeight="1" x14ac:dyDescent="0.25">
      <c r="A55" s="74" t="s">
        <v>421</v>
      </c>
      <c r="B55" s="80" t="s">
        <v>422</v>
      </c>
      <c r="C55" s="76"/>
      <c r="D55" s="77">
        <v>60000</v>
      </c>
      <c r="E55" s="76">
        <f>+C55+D55</f>
        <v>60000</v>
      </c>
      <c r="F55" s="76"/>
      <c r="G55" s="76"/>
      <c r="H55" s="76"/>
      <c r="I55" s="76"/>
      <c r="J55" s="76"/>
      <c r="K55" s="76"/>
      <c r="L55" s="76"/>
      <c r="M55" s="76">
        <v>31450</v>
      </c>
      <c r="N55" s="76"/>
      <c r="O55" s="76"/>
      <c r="P55" s="76"/>
      <c r="Q55" s="76"/>
      <c r="R55" s="19">
        <f t="shared" ref="R55" si="33">SUM(F55:Q55)</f>
        <v>31450</v>
      </c>
      <c r="S55" s="78">
        <f>+E55-R55</f>
        <v>28550</v>
      </c>
      <c r="T55" s="11"/>
      <c r="U55" s="11"/>
      <c r="V55" s="11"/>
      <c r="W55" s="11"/>
      <c r="X55" s="11"/>
      <c r="Y55" s="11"/>
      <c r="Z55" s="11"/>
    </row>
    <row r="56" spans="1:26" s="79" customFormat="1" ht="17.25" customHeight="1" x14ac:dyDescent="0.25">
      <c r="A56" s="74" t="s">
        <v>107</v>
      </c>
      <c r="B56" s="75" t="s">
        <v>108</v>
      </c>
      <c r="C56" s="76">
        <v>50000</v>
      </c>
      <c r="D56" s="77"/>
      <c r="E56" s="76">
        <f>+C56+D56</f>
        <v>50000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9">
        <f t="shared" ref="R56:R63" si="34">SUM(F56:Q56)</f>
        <v>0</v>
      </c>
      <c r="S56" s="78">
        <f>+E56-R56</f>
        <v>50000</v>
      </c>
      <c r="T56" s="11"/>
      <c r="U56" s="11"/>
      <c r="V56" s="11"/>
      <c r="W56" s="11"/>
      <c r="X56" s="11"/>
      <c r="Y56" s="11"/>
      <c r="Z56" s="11"/>
    </row>
    <row r="57" spans="1:26" s="79" customFormat="1" ht="17.25" customHeight="1" x14ac:dyDescent="0.25">
      <c r="A57" s="74" t="s">
        <v>109</v>
      </c>
      <c r="B57" s="75" t="s">
        <v>110</v>
      </c>
      <c r="C57" s="76">
        <v>500000</v>
      </c>
      <c r="D57" s="77"/>
      <c r="E57" s="76">
        <f t="shared" ref="E57:E63" si="35">+C57+D57</f>
        <v>500000</v>
      </c>
      <c r="F57" s="76"/>
      <c r="G57" s="76"/>
      <c r="H57" s="76">
        <v>199125</v>
      </c>
      <c r="I57" s="76"/>
      <c r="J57" s="76"/>
      <c r="K57" s="76"/>
      <c r="L57" s="76"/>
      <c r="M57" s="76"/>
      <c r="N57" s="76"/>
      <c r="O57" s="76"/>
      <c r="P57" s="76"/>
      <c r="Q57" s="76"/>
      <c r="R57" s="19">
        <f t="shared" si="34"/>
        <v>199125</v>
      </c>
      <c r="S57" s="78">
        <f>+E57-R57</f>
        <v>300875</v>
      </c>
      <c r="T57" s="11"/>
      <c r="U57" s="11"/>
      <c r="V57" s="11"/>
      <c r="W57" s="11"/>
      <c r="X57" s="11"/>
      <c r="Y57" s="11"/>
      <c r="Z57" s="11"/>
    </row>
    <row r="58" spans="1:26" s="79" customFormat="1" ht="17.25" customHeight="1" x14ac:dyDescent="0.25">
      <c r="A58" s="74" t="s">
        <v>111</v>
      </c>
      <c r="B58" s="75" t="s">
        <v>112</v>
      </c>
      <c r="C58" s="76">
        <v>120000</v>
      </c>
      <c r="D58" s="77"/>
      <c r="E58" s="76">
        <f t="shared" si="35"/>
        <v>120000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9">
        <f t="shared" si="34"/>
        <v>0</v>
      </c>
      <c r="S58" s="78">
        <f>+E58-R58</f>
        <v>120000</v>
      </c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7" t="s">
        <v>113</v>
      </c>
      <c r="B59" s="18" t="s">
        <v>114</v>
      </c>
      <c r="C59" s="19">
        <v>4200000</v>
      </c>
      <c r="D59" s="27">
        <v>200000</v>
      </c>
      <c r="E59" s="76">
        <f t="shared" si="35"/>
        <v>4400000</v>
      </c>
      <c r="F59" s="19"/>
      <c r="G59" s="19"/>
      <c r="H59" s="19"/>
      <c r="I59" s="19"/>
      <c r="J59" s="19">
        <v>697862.62</v>
      </c>
      <c r="K59" s="19">
        <v>402131.39</v>
      </c>
      <c r="L59" s="19"/>
      <c r="M59" s="19"/>
      <c r="N59" s="19"/>
      <c r="O59" s="19"/>
      <c r="P59" s="19"/>
      <c r="Q59" s="19"/>
      <c r="R59" s="19">
        <f t="shared" si="34"/>
        <v>1099994.01</v>
      </c>
      <c r="S59" s="36">
        <f>E59-R59</f>
        <v>3300005.99</v>
      </c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7" t="s">
        <v>415</v>
      </c>
      <c r="B60" s="18" t="s">
        <v>416</v>
      </c>
      <c r="C60" s="19"/>
      <c r="D60" s="27">
        <v>180000</v>
      </c>
      <c r="E60" s="76">
        <f t="shared" si="35"/>
        <v>180000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f t="shared" si="34"/>
        <v>0</v>
      </c>
      <c r="S60" s="36">
        <f>E60-R60</f>
        <v>180000</v>
      </c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7" t="s">
        <v>115</v>
      </c>
      <c r="B61" s="18" t="s">
        <v>116</v>
      </c>
      <c r="C61" s="19">
        <v>350000</v>
      </c>
      <c r="D61" s="27"/>
      <c r="E61" s="76">
        <f t="shared" si="35"/>
        <v>350000</v>
      </c>
      <c r="F61" s="19"/>
      <c r="G61" s="19"/>
      <c r="H61" s="19">
        <v>326742</v>
      </c>
      <c r="I61" s="19"/>
      <c r="J61" s="19"/>
      <c r="K61" s="19"/>
      <c r="L61" s="19"/>
      <c r="M61" s="19"/>
      <c r="N61" s="19"/>
      <c r="O61" s="19"/>
      <c r="P61" s="19"/>
      <c r="Q61" s="19"/>
      <c r="R61" s="19">
        <f t="shared" si="34"/>
        <v>326742</v>
      </c>
      <c r="S61" s="36">
        <f>E61-R61</f>
        <v>23258</v>
      </c>
      <c r="T61" s="11"/>
      <c r="U61" s="11"/>
      <c r="V61" s="11"/>
      <c r="W61" s="11"/>
      <c r="X61" s="11"/>
      <c r="Y61" s="11"/>
      <c r="Z61" s="11"/>
    </row>
    <row r="62" spans="1:26" ht="27.75" customHeight="1" x14ac:dyDescent="0.25">
      <c r="A62" s="17" t="s">
        <v>117</v>
      </c>
      <c r="B62" s="64" t="s">
        <v>118</v>
      </c>
      <c r="C62" s="19">
        <v>577244</v>
      </c>
      <c r="D62" s="27"/>
      <c r="E62" s="76">
        <f t="shared" si="35"/>
        <v>577244</v>
      </c>
      <c r="F62" s="19"/>
      <c r="G62" s="19"/>
      <c r="H62" s="19"/>
      <c r="I62" s="19"/>
      <c r="J62" s="19"/>
      <c r="K62" s="19"/>
      <c r="L62" s="19"/>
      <c r="M62" s="19">
        <v>52799.99</v>
      </c>
      <c r="N62" s="19"/>
      <c r="O62" s="19"/>
      <c r="P62" s="19"/>
      <c r="Q62" s="19"/>
      <c r="R62" s="19">
        <f t="shared" si="34"/>
        <v>52799.99</v>
      </c>
      <c r="S62" s="36">
        <f>E62-R62</f>
        <v>524444.01</v>
      </c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7" t="s">
        <v>119</v>
      </c>
      <c r="B63" s="18" t="s">
        <v>120</v>
      </c>
      <c r="C63" s="19">
        <v>200000</v>
      </c>
      <c r="D63" s="27"/>
      <c r="E63" s="76">
        <f t="shared" si="35"/>
        <v>200000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>
        <f t="shared" si="34"/>
        <v>0</v>
      </c>
      <c r="S63" s="36">
        <f>E63-R63</f>
        <v>200000</v>
      </c>
      <c r="T63" s="11"/>
      <c r="U63" s="11"/>
      <c r="V63" s="11"/>
      <c r="W63" s="11"/>
      <c r="X63" s="11"/>
      <c r="Y63" s="11"/>
      <c r="Z63" s="11"/>
    </row>
    <row r="64" spans="1:26" ht="22.5" customHeight="1" x14ac:dyDescent="0.25">
      <c r="A64" s="12" t="s">
        <v>121</v>
      </c>
      <c r="B64" s="66" t="s">
        <v>122</v>
      </c>
      <c r="C64" s="73">
        <f>SUM(C66+C65)</f>
        <v>1500000</v>
      </c>
      <c r="D64" s="73">
        <f t="shared" ref="D64" si="36">SUM(D66+D65)</f>
        <v>205000</v>
      </c>
      <c r="E64" s="73">
        <f>SUM(E66+E65)</f>
        <v>1705000</v>
      </c>
      <c r="F64" s="73">
        <f t="shared" ref="F64:Q64" si="37">+F66</f>
        <v>0</v>
      </c>
      <c r="G64" s="73">
        <f t="shared" si="37"/>
        <v>0</v>
      </c>
      <c r="H64" s="73">
        <f t="shared" si="37"/>
        <v>0</v>
      </c>
      <c r="I64" s="73">
        <f t="shared" si="37"/>
        <v>0</v>
      </c>
      <c r="J64" s="73">
        <f t="shared" si="37"/>
        <v>290439.3</v>
      </c>
      <c r="K64" s="73">
        <f t="shared" si="37"/>
        <v>333473.90000000002</v>
      </c>
      <c r="L64" s="73">
        <f t="shared" si="37"/>
        <v>348182.6</v>
      </c>
      <c r="M64" s="73">
        <f t="shared" si="37"/>
        <v>515660</v>
      </c>
      <c r="N64" s="73">
        <f>+N66+N65</f>
        <v>0</v>
      </c>
      <c r="O64" s="73">
        <f t="shared" si="37"/>
        <v>0</v>
      </c>
      <c r="P64" s="73">
        <f t="shared" si="37"/>
        <v>0</v>
      </c>
      <c r="Q64" s="73">
        <f t="shared" si="37"/>
        <v>0</v>
      </c>
      <c r="R64" s="73">
        <f>+R66+R65</f>
        <v>1487755.7999999998</v>
      </c>
      <c r="S64" s="140">
        <f>SUM(S65+S66)</f>
        <v>217244.20000000019</v>
      </c>
      <c r="T64" s="11"/>
      <c r="U64" s="11"/>
      <c r="V64" s="11"/>
      <c r="W64" s="11"/>
      <c r="X64" s="11"/>
      <c r="Y64" s="11"/>
      <c r="Z64" s="11"/>
    </row>
    <row r="65" spans="1:26" ht="17.25" customHeight="1" x14ac:dyDescent="0.25">
      <c r="A65" s="17" t="s">
        <v>123</v>
      </c>
      <c r="B65" s="283" t="s">
        <v>124</v>
      </c>
      <c r="C65" s="27"/>
      <c r="D65" s="27">
        <v>205000</v>
      </c>
      <c r="E65" s="81">
        <f>+C65+D65</f>
        <v>205000</v>
      </c>
      <c r="F65" s="27"/>
      <c r="G65" s="27"/>
      <c r="H65" s="65"/>
      <c r="I65" s="27"/>
      <c r="J65" s="27"/>
      <c r="K65" s="65"/>
      <c r="L65" s="27"/>
      <c r="M65" s="27"/>
      <c r="N65" s="70"/>
      <c r="O65" s="27"/>
      <c r="P65" s="27"/>
      <c r="Q65" s="70"/>
      <c r="R65" s="27">
        <f>SUM(F65:Q65)</f>
        <v>0</v>
      </c>
      <c r="S65" s="71">
        <f>E65-R65</f>
        <v>205000</v>
      </c>
      <c r="T65" s="58"/>
      <c r="U65" s="58"/>
      <c r="V65" s="58"/>
      <c r="W65" s="58"/>
      <c r="X65" s="58"/>
      <c r="Y65" s="58"/>
      <c r="Z65" s="58"/>
    </row>
    <row r="66" spans="1:26" ht="17.25" customHeight="1" x14ac:dyDescent="0.25">
      <c r="A66" s="17" t="s">
        <v>125</v>
      </c>
      <c r="B66" s="18" t="s">
        <v>126</v>
      </c>
      <c r="C66" s="27">
        <v>1500000</v>
      </c>
      <c r="D66" s="27"/>
      <c r="E66" s="81">
        <f t="shared" ref="E66" si="38">C66+D66</f>
        <v>1500000</v>
      </c>
      <c r="F66" s="27"/>
      <c r="G66" s="27"/>
      <c r="H66" s="65"/>
      <c r="I66" s="27"/>
      <c r="J66" s="27">
        <v>290439.3</v>
      </c>
      <c r="K66" s="70">
        <v>333473.90000000002</v>
      </c>
      <c r="L66" s="27">
        <v>348182.6</v>
      </c>
      <c r="M66" s="27">
        <v>515660</v>
      </c>
      <c r="N66" s="70"/>
      <c r="O66" s="27"/>
      <c r="P66" s="27"/>
      <c r="Q66" s="70"/>
      <c r="R66" s="27">
        <f>SUM(F66:Q66)</f>
        <v>1487755.7999999998</v>
      </c>
      <c r="S66" s="71">
        <f>E66-R66</f>
        <v>12244.200000000186</v>
      </c>
      <c r="T66" s="58"/>
      <c r="U66" s="58"/>
      <c r="V66" s="58"/>
      <c r="W66" s="58"/>
      <c r="X66" s="58"/>
      <c r="Y66" s="58"/>
      <c r="Z66" s="58"/>
    </row>
    <row r="67" spans="1:26" ht="17.25" customHeight="1" x14ac:dyDescent="0.25">
      <c r="A67" s="82">
        <v>2.2999999999999998</v>
      </c>
      <c r="B67" s="83" t="s">
        <v>127</v>
      </c>
      <c r="C67" s="84">
        <f>C68+C71+C75+C80+C86+C92+C82</f>
        <v>11956457</v>
      </c>
      <c r="D67" s="85">
        <f>D68+D71+D75+D80+D86+D92+D82</f>
        <v>6175312.0199999996</v>
      </c>
      <c r="E67" s="84">
        <f>E68+E71+E75+E80+E86+E92+E82</f>
        <v>18131769.02</v>
      </c>
      <c r="F67" s="84">
        <f t="shared" ref="F67:G67" si="39">F68+F71+F75+F80+F86+F92</f>
        <v>0</v>
      </c>
      <c r="G67" s="84">
        <f t="shared" si="39"/>
        <v>0</v>
      </c>
      <c r="H67" s="84">
        <f>H68+H71+H75+H80+H86+H92</f>
        <v>288714.18000000005</v>
      </c>
      <c r="I67" s="84">
        <f>I68+I71+I75+I80+I86+I92+I82</f>
        <v>5425582.04</v>
      </c>
      <c r="J67" s="84">
        <f>J68+J71+J75+J80+J86+J92+J82</f>
        <v>572287.77999999991</v>
      </c>
      <c r="K67" s="84">
        <f t="shared" ref="K67:Q67" si="40">K68+K71+K75+K80+K86+K92+K82</f>
        <v>1576455.91</v>
      </c>
      <c r="L67" s="84">
        <f t="shared" si="40"/>
        <v>1397073.3900000001</v>
      </c>
      <c r="M67" s="84">
        <f t="shared" si="40"/>
        <v>1418046.1099999999</v>
      </c>
      <c r="N67" s="84">
        <f t="shared" si="40"/>
        <v>0</v>
      </c>
      <c r="O67" s="84">
        <f t="shared" si="40"/>
        <v>0</v>
      </c>
      <c r="P67" s="84">
        <f t="shared" si="40"/>
        <v>0</v>
      </c>
      <c r="Q67" s="84">
        <f t="shared" si="40"/>
        <v>0</v>
      </c>
      <c r="R67" s="84">
        <f>R68+R71+R75+R80+R86+R92+R82</f>
        <v>10678159.41</v>
      </c>
      <c r="S67" s="86">
        <f>S68+S71+S75+S80+S86+S92+S82</f>
        <v>7453609.6099999994</v>
      </c>
      <c r="T67" s="11"/>
      <c r="U67" s="11"/>
      <c r="V67" s="11"/>
      <c r="W67" s="11"/>
      <c r="X67" s="11"/>
      <c r="Y67" s="11"/>
      <c r="Z67" s="11"/>
    </row>
    <row r="68" spans="1:26" ht="18" customHeight="1" x14ac:dyDescent="0.25">
      <c r="A68" s="12" t="s">
        <v>128</v>
      </c>
      <c r="B68" s="50" t="s">
        <v>129</v>
      </c>
      <c r="C68" s="73">
        <f>SUM(C69)</f>
        <v>469405</v>
      </c>
      <c r="D68" s="73">
        <f>SUM(D69:D70)</f>
        <v>1200000</v>
      </c>
      <c r="E68" s="73">
        <f>SUM(E69:E70)</f>
        <v>1669405</v>
      </c>
      <c r="F68" s="73">
        <f t="shared" ref="F68:P68" si="41">SUM(F69:F69)</f>
        <v>0</v>
      </c>
      <c r="G68" s="73">
        <f t="shared" si="41"/>
        <v>0</v>
      </c>
      <c r="H68" s="73">
        <f t="shared" si="41"/>
        <v>0</v>
      </c>
      <c r="I68" s="73">
        <f t="shared" si="41"/>
        <v>0</v>
      </c>
      <c r="J68" s="73">
        <f>SUM(J69:J70)</f>
        <v>157330.29999999999</v>
      </c>
      <c r="K68" s="73">
        <f t="shared" si="41"/>
        <v>11240</v>
      </c>
      <c r="L68" s="73">
        <f>SUM(L69:L70)</f>
        <v>767992.16</v>
      </c>
      <c r="M68" s="73">
        <f t="shared" si="41"/>
        <v>9280</v>
      </c>
      <c r="N68" s="73">
        <f t="shared" si="41"/>
        <v>0</v>
      </c>
      <c r="O68" s="73">
        <f t="shared" si="41"/>
        <v>0</v>
      </c>
      <c r="P68" s="73">
        <f t="shared" si="41"/>
        <v>0</v>
      </c>
      <c r="Q68" s="73">
        <f>SUM(Q69:Q70)</f>
        <v>0</v>
      </c>
      <c r="R68" s="73">
        <f>SUM(F68:Q68)</f>
        <v>945842.46</v>
      </c>
      <c r="S68" s="140">
        <f>SUM(S69:S70)</f>
        <v>723562.54</v>
      </c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7" t="s">
        <v>130</v>
      </c>
      <c r="B69" s="18" t="s">
        <v>131</v>
      </c>
      <c r="C69" s="19">
        <v>469405</v>
      </c>
      <c r="D69" s="27">
        <v>0</v>
      </c>
      <c r="E69" s="41">
        <f t="shared" ref="E69:E70" si="42">C69+D69</f>
        <v>469405</v>
      </c>
      <c r="F69" s="19"/>
      <c r="G69" s="19"/>
      <c r="H69" s="19"/>
      <c r="I69" s="19"/>
      <c r="J69" s="19">
        <v>157330.29999999999</v>
      </c>
      <c r="K69" s="19">
        <v>11240</v>
      </c>
      <c r="L69" s="19">
        <v>169912.16</v>
      </c>
      <c r="M69" s="19">
        <v>9280</v>
      </c>
      <c r="N69" s="19"/>
      <c r="O69" s="19"/>
      <c r="P69" s="19"/>
      <c r="Q69" s="19"/>
      <c r="R69" s="19">
        <f>SUM(F69:Q69)</f>
        <v>347762.45999999996</v>
      </c>
      <c r="S69" s="36">
        <f>E69-R69</f>
        <v>121642.54000000004</v>
      </c>
      <c r="T69" s="11"/>
      <c r="U69" s="11"/>
      <c r="V69" s="11"/>
      <c r="W69" s="11"/>
      <c r="X69" s="11"/>
      <c r="Y69" s="11"/>
      <c r="Z69" s="11"/>
    </row>
    <row r="70" spans="1:26" ht="21" customHeight="1" x14ac:dyDescent="0.25">
      <c r="A70" s="17" t="s">
        <v>132</v>
      </c>
      <c r="B70" s="18" t="s">
        <v>133</v>
      </c>
      <c r="C70" s="27"/>
      <c r="D70" s="27">
        <v>1200000</v>
      </c>
      <c r="E70" s="41">
        <f t="shared" si="42"/>
        <v>1200000</v>
      </c>
      <c r="F70" s="27"/>
      <c r="G70" s="27"/>
      <c r="H70" s="65"/>
      <c r="I70" s="27"/>
      <c r="J70" s="27">
        <v>0</v>
      </c>
      <c r="K70" s="65"/>
      <c r="L70" s="27">
        <v>598080</v>
      </c>
      <c r="M70" s="27"/>
      <c r="N70" s="65"/>
      <c r="O70" s="27"/>
      <c r="P70" s="27"/>
      <c r="Q70" s="70"/>
      <c r="R70" s="27">
        <f>SUM(F70:Q70)</f>
        <v>598080</v>
      </c>
      <c r="S70" s="71">
        <f>E70-R70</f>
        <v>601920</v>
      </c>
      <c r="T70" s="58"/>
      <c r="U70" s="58"/>
      <c r="V70" s="58"/>
      <c r="W70" s="58"/>
      <c r="X70" s="58"/>
      <c r="Y70" s="58"/>
      <c r="Z70" s="58"/>
    </row>
    <row r="71" spans="1:26" ht="16.5" customHeight="1" x14ac:dyDescent="0.25">
      <c r="A71" s="12" t="s">
        <v>136</v>
      </c>
      <c r="B71" s="50" t="s">
        <v>137</v>
      </c>
      <c r="C71" s="73">
        <f>SUM(C72:C74)</f>
        <v>491630</v>
      </c>
      <c r="D71" s="67">
        <f>D74+D73+D72</f>
        <v>170000</v>
      </c>
      <c r="E71" s="73">
        <f>E74+E73+E72</f>
        <v>661630</v>
      </c>
      <c r="F71" s="73">
        <f t="shared" ref="F71:G71" si="43">SUM(F74)</f>
        <v>0</v>
      </c>
      <c r="G71" s="73">
        <f t="shared" si="43"/>
        <v>0</v>
      </c>
      <c r="H71" s="73">
        <f>SUM(H72:H74)</f>
        <v>885</v>
      </c>
      <c r="I71" s="73">
        <f t="shared" ref="I71:Q71" si="44">SUM(I72:I74)</f>
        <v>0</v>
      </c>
      <c r="J71" s="73">
        <f t="shared" si="44"/>
        <v>0</v>
      </c>
      <c r="K71" s="73">
        <f t="shared" si="44"/>
        <v>304149.71999999997</v>
      </c>
      <c r="L71" s="73">
        <f t="shared" si="44"/>
        <v>48450.8</v>
      </c>
      <c r="M71" s="73">
        <f t="shared" si="44"/>
        <v>0</v>
      </c>
      <c r="N71" s="73">
        <f t="shared" si="44"/>
        <v>0</v>
      </c>
      <c r="O71" s="73">
        <f t="shared" si="44"/>
        <v>0</v>
      </c>
      <c r="P71" s="73">
        <f t="shared" si="44"/>
        <v>0</v>
      </c>
      <c r="Q71" s="73">
        <f t="shared" si="44"/>
        <v>0</v>
      </c>
      <c r="R71" s="73">
        <f>SUM(R72:R74)</f>
        <v>353485.51999999996</v>
      </c>
      <c r="S71" s="140">
        <f>SUM(S74+S73+S72)</f>
        <v>308144.48000000004</v>
      </c>
      <c r="T71" s="58"/>
      <c r="U71" s="58"/>
      <c r="V71" s="58"/>
      <c r="W71" s="58"/>
      <c r="X71" s="58"/>
      <c r="Y71" s="58"/>
      <c r="Z71" s="58"/>
    </row>
    <row r="72" spans="1:26" s="79" customFormat="1" ht="16.5" customHeight="1" x14ac:dyDescent="0.25">
      <c r="A72" s="74" t="s">
        <v>138</v>
      </c>
      <c r="B72" s="87" t="s">
        <v>139</v>
      </c>
      <c r="C72" s="76">
        <v>5000</v>
      </c>
      <c r="D72" s="89">
        <v>0</v>
      </c>
      <c r="E72" s="76">
        <f>+C72+D72</f>
        <v>5000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76"/>
      <c r="R72" s="76">
        <f t="shared" ref="R72:R81" si="45">SUM(F72:Q72)</f>
        <v>0</v>
      </c>
      <c r="S72" s="57">
        <f>E72-R72</f>
        <v>5000</v>
      </c>
      <c r="T72" s="90"/>
      <c r="U72" s="90"/>
      <c r="V72" s="90"/>
      <c r="W72" s="90"/>
      <c r="X72" s="90"/>
      <c r="Y72" s="90"/>
      <c r="Z72" s="90"/>
    </row>
    <row r="73" spans="1:26" s="79" customFormat="1" ht="19.5" customHeight="1" x14ac:dyDescent="0.25">
      <c r="A73" s="17" t="s">
        <v>140</v>
      </c>
      <c r="B73" s="18" t="s">
        <v>141</v>
      </c>
      <c r="C73" s="76">
        <v>155300</v>
      </c>
      <c r="D73" s="27">
        <v>0</v>
      </c>
      <c r="E73" s="76">
        <f>+C73+D73</f>
        <v>155300</v>
      </c>
      <c r="F73" s="88"/>
      <c r="G73" s="88"/>
      <c r="H73" s="88"/>
      <c r="I73" s="88"/>
      <c r="J73" s="88"/>
      <c r="K73" s="76">
        <v>2242</v>
      </c>
      <c r="L73" s="76">
        <v>48450.8</v>
      </c>
      <c r="M73" s="88"/>
      <c r="N73" s="88"/>
      <c r="O73" s="88"/>
      <c r="P73" s="88"/>
      <c r="Q73" s="76"/>
      <c r="R73" s="76">
        <f t="shared" si="45"/>
        <v>50692.800000000003</v>
      </c>
      <c r="S73" s="57">
        <f>E73-R73</f>
        <v>104607.2</v>
      </c>
      <c r="T73" s="90"/>
      <c r="U73" s="90"/>
      <c r="V73" s="90"/>
      <c r="W73" s="90"/>
      <c r="X73" s="90"/>
      <c r="Y73" s="90"/>
      <c r="Z73" s="90"/>
    </row>
    <row r="74" spans="1:26" ht="18" customHeight="1" x14ac:dyDescent="0.25">
      <c r="A74" s="17" t="s">
        <v>142</v>
      </c>
      <c r="B74" s="18" t="s">
        <v>143</v>
      </c>
      <c r="C74" s="27">
        <v>331330</v>
      </c>
      <c r="D74" s="27">
        <v>170000</v>
      </c>
      <c r="E74" s="34">
        <f>C74+D74</f>
        <v>501330</v>
      </c>
      <c r="F74" s="69"/>
      <c r="G74" s="69"/>
      <c r="H74" s="69">
        <v>885</v>
      </c>
      <c r="I74" s="69"/>
      <c r="J74" s="69"/>
      <c r="K74" s="69">
        <v>301907.71999999997</v>
      </c>
      <c r="L74" s="69"/>
      <c r="M74" s="69"/>
      <c r="N74" s="69"/>
      <c r="O74" s="69"/>
      <c r="P74" s="69"/>
      <c r="Q74" s="69"/>
      <c r="R74" s="27">
        <f t="shared" si="45"/>
        <v>302792.71999999997</v>
      </c>
      <c r="S74" s="71">
        <f>E74-R74</f>
        <v>198537.28000000003</v>
      </c>
      <c r="T74" s="58"/>
      <c r="U74" s="58"/>
      <c r="V74" s="58"/>
      <c r="W74" s="58"/>
      <c r="X74" s="58"/>
      <c r="Y74" s="58"/>
      <c r="Z74" s="58"/>
    </row>
    <row r="75" spans="1:26" ht="18" customHeight="1" x14ac:dyDescent="0.25">
      <c r="A75" s="12" t="s">
        <v>144</v>
      </c>
      <c r="B75" s="50" t="s">
        <v>145</v>
      </c>
      <c r="C75" s="73">
        <f>SUM(C76:C79)</f>
        <v>1406635</v>
      </c>
      <c r="D75" s="55">
        <f>SUM(D76:D79)</f>
        <v>110000</v>
      </c>
      <c r="E75" s="73">
        <f>SUM(E76:E79)</f>
        <v>1516635</v>
      </c>
      <c r="F75" s="73">
        <f t="shared" ref="F75:P75" si="46">SUM(F77:F79)</f>
        <v>0</v>
      </c>
      <c r="G75" s="73">
        <f t="shared" si="46"/>
        <v>0</v>
      </c>
      <c r="H75" s="73">
        <f>SUM(H76:H79)</f>
        <v>49648.5</v>
      </c>
      <c r="I75" s="73">
        <f>SUM(I76:I79)</f>
        <v>141703.84</v>
      </c>
      <c r="J75" s="73">
        <f>SUM(J76:J79)</f>
        <v>93277.23</v>
      </c>
      <c r="K75" s="73">
        <f t="shared" si="46"/>
        <v>64457.5</v>
      </c>
      <c r="L75" s="73">
        <f>SUM(L76:L79)</f>
        <v>0</v>
      </c>
      <c r="M75" s="73">
        <f>SUM(M76:M79)</f>
        <v>137704.53</v>
      </c>
      <c r="N75" s="73">
        <f>SUM(N76:N79)</f>
        <v>0</v>
      </c>
      <c r="O75" s="73">
        <f t="shared" si="46"/>
        <v>0</v>
      </c>
      <c r="P75" s="73">
        <f t="shared" si="46"/>
        <v>0</v>
      </c>
      <c r="Q75" s="73">
        <f>SUM(Q76:Q79)</f>
        <v>0</v>
      </c>
      <c r="R75" s="73">
        <f>SUM(F75:Q75)</f>
        <v>486791.6</v>
      </c>
      <c r="S75" s="140">
        <f>SUM(S76:S79)</f>
        <v>1029843.4</v>
      </c>
      <c r="T75" s="58"/>
      <c r="U75" s="58"/>
      <c r="V75" s="58"/>
      <c r="W75" s="58"/>
      <c r="X75" s="58"/>
      <c r="Y75" s="58"/>
      <c r="Z75" s="58"/>
    </row>
    <row r="76" spans="1:26" ht="18" customHeight="1" x14ac:dyDescent="0.25">
      <c r="A76" s="17" t="s">
        <v>146</v>
      </c>
      <c r="B76" s="18" t="s">
        <v>147</v>
      </c>
      <c r="C76" s="91">
        <v>310000</v>
      </c>
      <c r="D76" s="27">
        <v>60000</v>
      </c>
      <c r="E76" s="91">
        <f>+C76+D76</f>
        <v>370000</v>
      </c>
      <c r="F76" s="92"/>
      <c r="G76" s="92"/>
      <c r="H76" s="92"/>
      <c r="I76" s="91">
        <v>140125</v>
      </c>
      <c r="J76" s="91">
        <v>93277.23</v>
      </c>
      <c r="K76" s="92"/>
      <c r="L76" s="92"/>
      <c r="M76" s="91">
        <v>95106.53</v>
      </c>
      <c r="N76" s="92"/>
      <c r="O76" s="92"/>
      <c r="P76" s="92"/>
      <c r="Q76" s="91"/>
      <c r="R76" s="91">
        <f>SUM(F76:Q76)</f>
        <v>328508.76</v>
      </c>
      <c r="S76" s="71">
        <f>E76-R76</f>
        <v>41491.239999999991</v>
      </c>
      <c r="T76" s="58"/>
      <c r="U76" s="58"/>
      <c r="V76" s="58"/>
      <c r="W76" s="58"/>
      <c r="X76" s="58"/>
      <c r="Y76" s="58"/>
      <c r="Z76" s="58"/>
    </row>
    <row r="77" spans="1:26" ht="15.75" customHeight="1" x14ac:dyDescent="0.25">
      <c r="A77" s="17" t="s">
        <v>148</v>
      </c>
      <c r="B77" s="18" t="s">
        <v>149</v>
      </c>
      <c r="C77" s="27">
        <v>89195</v>
      </c>
      <c r="D77" s="27">
        <v>50000</v>
      </c>
      <c r="E77" s="68">
        <f t="shared" ref="E77:E78" si="47">C77+D77</f>
        <v>139195</v>
      </c>
      <c r="F77" s="65"/>
      <c r="G77" s="27"/>
      <c r="H77" s="27">
        <v>49648.5</v>
      </c>
      <c r="I77" s="27">
        <v>1578.84</v>
      </c>
      <c r="J77" s="27"/>
      <c r="K77" s="27">
        <v>64457.5</v>
      </c>
      <c r="L77" s="27"/>
      <c r="M77" s="27">
        <v>42598</v>
      </c>
      <c r="N77" s="27"/>
      <c r="O77" s="65"/>
      <c r="P77" s="27"/>
      <c r="Q77" s="27"/>
      <c r="R77" s="70">
        <f>SUM(F77:Q77)</f>
        <v>158282.84</v>
      </c>
      <c r="S77" s="57">
        <f>E77-R77</f>
        <v>-19087.839999999997</v>
      </c>
      <c r="T77" s="58"/>
      <c r="U77" s="58"/>
      <c r="V77" s="58"/>
      <c r="W77" s="58"/>
      <c r="X77" s="58"/>
      <c r="Y77" s="58"/>
      <c r="Z77" s="58"/>
    </row>
    <row r="78" spans="1:26" ht="15.75" customHeight="1" x14ac:dyDescent="0.25">
      <c r="A78" s="17" t="s">
        <v>150</v>
      </c>
      <c r="B78" s="18" t="s">
        <v>151</v>
      </c>
      <c r="C78" s="27">
        <v>836640</v>
      </c>
      <c r="D78" s="27">
        <v>0</v>
      </c>
      <c r="E78" s="68">
        <f t="shared" si="47"/>
        <v>836640</v>
      </c>
      <c r="F78" s="27"/>
      <c r="G78" s="27"/>
      <c r="H78" s="70"/>
      <c r="I78" s="27"/>
      <c r="J78" s="65"/>
      <c r="K78" s="65"/>
      <c r="L78" s="27"/>
      <c r="M78" s="65"/>
      <c r="N78" s="70"/>
      <c r="O78" s="27"/>
      <c r="P78" s="65"/>
      <c r="Q78" s="70"/>
      <c r="R78" s="27">
        <f>SUM(F78:Q78)</f>
        <v>0</v>
      </c>
      <c r="S78" s="57">
        <f>E78-R78</f>
        <v>836640</v>
      </c>
      <c r="T78" s="58"/>
      <c r="U78" s="58"/>
      <c r="V78" s="58"/>
      <c r="W78" s="58"/>
      <c r="X78" s="58"/>
      <c r="Y78" s="58"/>
      <c r="Z78" s="58"/>
    </row>
    <row r="79" spans="1:26" ht="15.75" customHeight="1" x14ac:dyDescent="0.25">
      <c r="A79" s="17" t="s">
        <v>152</v>
      </c>
      <c r="B79" s="18" t="s">
        <v>153</v>
      </c>
      <c r="C79" s="27">
        <v>170800</v>
      </c>
      <c r="D79" s="27"/>
      <c r="E79" s="68">
        <f>C79+D79</f>
        <v>170800</v>
      </c>
      <c r="F79" s="27"/>
      <c r="G79" s="65"/>
      <c r="H79" s="27"/>
      <c r="I79" s="69"/>
      <c r="J79" s="65"/>
      <c r="K79" s="27"/>
      <c r="L79" s="65"/>
      <c r="M79" s="65"/>
      <c r="N79" s="27"/>
      <c r="O79" s="65"/>
      <c r="P79" s="65"/>
      <c r="Q79" s="65"/>
      <c r="R79" s="27">
        <f t="shared" si="45"/>
        <v>0</v>
      </c>
      <c r="S79" s="57">
        <f>E79-R79</f>
        <v>170800</v>
      </c>
      <c r="T79" s="58"/>
      <c r="U79" s="58"/>
      <c r="V79" s="58"/>
      <c r="W79" s="58"/>
      <c r="X79" s="58"/>
      <c r="Y79" s="58"/>
      <c r="Z79" s="58"/>
    </row>
    <row r="80" spans="1:26" ht="16.5" customHeight="1" x14ac:dyDescent="0.25">
      <c r="A80" s="12" t="s">
        <v>154</v>
      </c>
      <c r="B80" s="50" t="s">
        <v>155</v>
      </c>
      <c r="C80" s="73">
        <f>SUM(C81)</f>
        <v>7500</v>
      </c>
      <c r="D80" s="55">
        <f>SUM(D81:D81)</f>
        <v>149750</v>
      </c>
      <c r="E80" s="73">
        <f>SUM(E81:E81)</f>
        <v>157250</v>
      </c>
      <c r="F80" s="55">
        <f t="shared" ref="F80:Q80" si="48">SUM(F81)</f>
        <v>0</v>
      </c>
      <c r="G80" s="73">
        <f t="shared" si="48"/>
        <v>0</v>
      </c>
      <c r="H80" s="55">
        <f t="shared" si="48"/>
        <v>590</v>
      </c>
      <c r="I80" s="73">
        <f t="shared" si="48"/>
        <v>0</v>
      </c>
      <c r="J80" s="73">
        <f t="shared" si="48"/>
        <v>0</v>
      </c>
      <c r="K80" s="55">
        <f t="shared" si="48"/>
        <v>90270</v>
      </c>
      <c r="L80" s="73">
        <f t="shared" si="48"/>
        <v>0</v>
      </c>
      <c r="M80" s="73">
        <f t="shared" si="48"/>
        <v>0</v>
      </c>
      <c r="N80" s="73">
        <f t="shared" si="48"/>
        <v>0</v>
      </c>
      <c r="O80" s="73">
        <f t="shared" si="48"/>
        <v>0</v>
      </c>
      <c r="P80" s="73">
        <f t="shared" si="48"/>
        <v>0</v>
      </c>
      <c r="Q80" s="73">
        <f t="shared" si="48"/>
        <v>0</v>
      </c>
      <c r="R80" s="73">
        <f t="shared" si="45"/>
        <v>90860</v>
      </c>
      <c r="S80" s="140">
        <f>+S81</f>
        <v>66390</v>
      </c>
      <c r="T80" s="58"/>
      <c r="U80" s="58"/>
      <c r="V80" s="58"/>
      <c r="W80" s="58"/>
      <c r="X80" s="58"/>
      <c r="Y80" s="58"/>
      <c r="Z80" s="58"/>
    </row>
    <row r="81" spans="1:26" ht="18" customHeight="1" x14ac:dyDescent="0.25">
      <c r="A81" s="17" t="s">
        <v>363</v>
      </c>
      <c r="B81" s="18" t="s">
        <v>364</v>
      </c>
      <c r="C81" s="27">
        <v>7500</v>
      </c>
      <c r="D81" s="27">
        <v>149750</v>
      </c>
      <c r="E81" s="68">
        <f>C81+D81</f>
        <v>157250</v>
      </c>
      <c r="F81" s="27">
        <v>0</v>
      </c>
      <c r="G81" s="27"/>
      <c r="H81" s="27">
        <v>590</v>
      </c>
      <c r="I81" s="27"/>
      <c r="J81" s="65"/>
      <c r="K81" s="27">
        <v>90270</v>
      </c>
      <c r="L81" s="27"/>
      <c r="M81" s="65"/>
      <c r="N81" s="27">
        <v>0</v>
      </c>
      <c r="O81" s="27"/>
      <c r="P81" s="65"/>
      <c r="Q81" s="65"/>
      <c r="R81" s="27">
        <f t="shared" si="45"/>
        <v>90860</v>
      </c>
      <c r="S81" s="71">
        <f>E81-R81</f>
        <v>66390</v>
      </c>
      <c r="T81" s="58"/>
      <c r="U81" s="58"/>
      <c r="V81" s="58"/>
      <c r="W81" s="58"/>
      <c r="X81" s="58"/>
      <c r="Y81" s="58"/>
      <c r="Z81" s="58"/>
    </row>
    <row r="82" spans="1:26" ht="27.75" customHeight="1" x14ac:dyDescent="0.25">
      <c r="A82" s="49" t="s">
        <v>158</v>
      </c>
      <c r="B82" s="66" t="s">
        <v>159</v>
      </c>
      <c r="C82" s="73">
        <f>SUM(C83:C85)</f>
        <v>66060</v>
      </c>
      <c r="D82" s="73">
        <f t="shared" ref="D82:E82" si="49">SUM(D83:D85)</f>
        <v>135000</v>
      </c>
      <c r="E82" s="73">
        <f t="shared" si="49"/>
        <v>201060</v>
      </c>
      <c r="F82" s="73">
        <f t="shared" ref="F82:S82" si="50">SUM(F83:F85)</f>
        <v>0</v>
      </c>
      <c r="G82" s="73">
        <f t="shared" si="50"/>
        <v>0</v>
      </c>
      <c r="H82" s="73">
        <f t="shared" si="50"/>
        <v>0</v>
      </c>
      <c r="I82" s="73">
        <f t="shared" si="50"/>
        <v>8850</v>
      </c>
      <c r="J82" s="73">
        <f>SUM(J83:J85)</f>
        <v>20319.84</v>
      </c>
      <c r="K82" s="73">
        <f t="shared" si="50"/>
        <v>24061.95</v>
      </c>
      <c r="L82" s="73">
        <f t="shared" si="50"/>
        <v>0</v>
      </c>
      <c r="M82" s="73">
        <f t="shared" si="50"/>
        <v>991.2</v>
      </c>
      <c r="N82" s="73">
        <f t="shared" si="50"/>
        <v>0</v>
      </c>
      <c r="O82" s="73">
        <f t="shared" si="50"/>
        <v>0</v>
      </c>
      <c r="P82" s="73">
        <f t="shared" si="50"/>
        <v>0</v>
      </c>
      <c r="Q82" s="73">
        <f t="shared" si="50"/>
        <v>0</v>
      </c>
      <c r="R82" s="73">
        <f t="shared" si="50"/>
        <v>54222.99</v>
      </c>
      <c r="S82" s="140">
        <f t="shared" si="50"/>
        <v>146837.00999999998</v>
      </c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7" t="s">
        <v>365</v>
      </c>
      <c r="B83" s="64" t="s">
        <v>366</v>
      </c>
      <c r="C83" s="352">
        <v>26000</v>
      </c>
      <c r="D83" s="20"/>
      <c r="E83" s="20">
        <f>+C83+D83</f>
        <v>26000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>
        <f>SUM(F83:Q83)</f>
        <v>0</v>
      </c>
      <c r="S83" s="57">
        <f>E83-R83</f>
        <v>26000</v>
      </c>
      <c r="T83" s="58"/>
      <c r="U83" s="58"/>
      <c r="V83" s="58"/>
      <c r="W83" s="58"/>
      <c r="X83" s="58"/>
      <c r="Y83" s="58"/>
      <c r="Z83" s="58"/>
    </row>
    <row r="84" spans="1:26" ht="15.75" customHeight="1" x14ac:dyDescent="0.25">
      <c r="A84" s="17" t="s">
        <v>160</v>
      </c>
      <c r="B84" s="64" t="s">
        <v>161</v>
      </c>
      <c r="C84" s="352">
        <v>37150</v>
      </c>
      <c r="D84" s="20">
        <v>135000</v>
      </c>
      <c r="E84" s="20">
        <f t="shared" ref="E84:E85" si="51">C84+D84</f>
        <v>172150</v>
      </c>
      <c r="F84" s="27"/>
      <c r="G84" s="27"/>
      <c r="H84" s="27">
        <v>0</v>
      </c>
      <c r="I84" s="27">
        <v>7080</v>
      </c>
      <c r="J84" s="27">
        <v>20319.84</v>
      </c>
      <c r="K84" s="27">
        <v>24061.95</v>
      </c>
      <c r="L84" s="27"/>
      <c r="M84" s="27"/>
      <c r="N84" s="27">
        <v>0</v>
      </c>
      <c r="O84" s="27"/>
      <c r="P84" s="27"/>
      <c r="Q84" s="27">
        <v>0</v>
      </c>
      <c r="R84" s="27">
        <f>SUM(F84:Q84)</f>
        <v>51461.79</v>
      </c>
      <c r="S84" s="57">
        <f>E84-R84</f>
        <v>120688.20999999999</v>
      </c>
      <c r="T84" s="58"/>
      <c r="U84" s="58"/>
      <c r="V84" s="58"/>
      <c r="W84" s="58"/>
      <c r="X84" s="58"/>
      <c r="Y84" s="58"/>
      <c r="Z84" s="58"/>
    </row>
    <row r="85" spans="1:26" ht="15.75" customHeight="1" x14ac:dyDescent="0.25">
      <c r="A85" s="17" t="s">
        <v>162</v>
      </c>
      <c r="B85" s="64" t="s">
        <v>163</v>
      </c>
      <c r="C85" s="352">
        <v>2910</v>
      </c>
      <c r="D85" s="20"/>
      <c r="E85" s="20">
        <f t="shared" si="51"/>
        <v>2910</v>
      </c>
      <c r="F85" s="27"/>
      <c r="G85" s="27"/>
      <c r="H85" s="27"/>
      <c r="I85" s="27">
        <v>1770</v>
      </c>
      <c r="J85" s="27"/>
      <c r="K85" s="27"/>
      <c r="L85" s="27"/>
      <c r="M85" s="27">
        <v>991.2</v>
      </c>
      <c r="N85" s="27"/>
      <c r="O85" s="27"/>
      <c r="P85" s="27"/>
      <c r="Q85" s="27"/>
      <c r="R85" s="27">
        <f>SUM(F85:Q85)</f>
        <v>2761.2</v>
      </c>
      <c r="S85" s="57">
        <f>E85-R85</f>
        <v>148.80000000000018</v>
      </c>
      <c r="T85" s="58"/>
      <c r="U85" s="58"/>
      <c r="V85" s="58"/>
      <c r="W85" s="58"/>
      <c r="X85" s="58"/>
      <c r="Y85" s="58"/>
      <c r="Z85" s="58"/>
    </row>
    <row r="86" spans="1:26" ht="28.5" customHeight="1" x14ac:dyDescent="0.25">
      <c r="A86" s="49" t="s">
        <v>164</v>
      </c>
      <c r="B86" s="66" t="s">
        <v>165</v>
      </c>
      <c r="C86" s="73">
        <f>SUM(C87:C91)</f>
        <v>6210492</v>
      </c>
      <c r="D86" s="73">
        <f>SUM(D87:D91)</f>
        <v>625000</v>
      </c>
      <c r="E86" s="73">
        <f>SUM(E87:E91)</f>
        <v>6835492</v>
      </c>
      <c r="F86" s="73">
        <f t="shared" ref="F86:O86" si="52">SUM(F87:F88)</f>
        <v>0</v>
      </c>
      <c r="G86" s="73">
        <f t="shared" si="52"/>
        <v>0</v>
      </c>
      <c r="H86" s="73">
        <f t="shared" si="52"/>
        <v>0</v>
      </c>
      <c r="I86" s="73">
        <f t="shared" si="52"/>
        <v>5000000</v>
      </c>
      <c r="J86" s="73">
        <f>SUM(J87:J91)</f>
        <v>51908.2</v>
      </c>
      <c r="K86" s="73">
        <f>SUM(K87:K91)</f>
        <v>375672.78</v>
      </c>
      <c r="L86" s="73">
        <f t="shared" ref="L86:M86" si="53">SUM(L87:L91)</f>
        <v>0</v>
      </c>
      <c r="M86" s="73">
        <f t="shared" si="53"/>
        <v>27582.5</v>
      </c>
      <c r="N86" s="73">
        <f>SUM(N87:N91)</f>
        <v>0</v>
      </c>
      <c r="O86" s="73">
        <f t="shared" si="52"/>
        <v>0</v>
      </c>
      <c r="P86" s="73">
        <f>SUM(P87:P91)</f>
        <v>0</v>
      </c>
      <c r="Q86" s="73">
        <f>SUM(Q87:Q91)</f>
        <v>0</v>
      </c>
      <c r="R86" s="73">
        <f>SUM(R87:R91)</f>
        <v>5455163.4799999995</v>
      </c>
      <c r="S86" s="140">
        <f>SUM(S87:S91)</f>
        <v>1380328.52</v>
      </c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7" t="s">
        <v>166</v>
      </c>
      <c r="B87" s="18" t="s">
        <v>167</v>
      </c>
      <c r="C87" s="27">
        <v>2000000</v>
      </c>
      <c r="D87" s="20"/>
      <c r="E87" s="20">
        <f>C87+D87</f>
        <v>2000000</v>
      </c>
      <c r="F87" s="27"/>
      <c r="G87" s="27"/>
      <c r="H87" s="27"/>
      <c r="I87" s="27">
        <v>2500000</v>
      </c>
      <c r="J87" s="27"/>
      <c r="K87" s="27"/>
      <c r="L87" s="27"/>
      <c r="M87" s="27"/>
      <c r="N87" s="27"/>
      <c r="O87" s="27"/>
      <c r="P87" s="27"/>
      <c r="Q87" s="27"/>
      <c r="R87" s="27">
        <f>SUM(F87:Q87)</f>
        <v>2500000</v>
      </c>
      <c r="S87" s="57">
        <f>E87-R87</f>
        <v>-500000</v>
      </c>
      <c r="T87" s="58"/>
      <c r="U87" s="58"/>
      <c r="V87" s="58"/>
      <c r="W87" s="58"/>
      <c r="X87" s="58"/>
      <c r="Y87" s="58"/>
      <c r="Z87" s="58"/>
    </row>
    <row r="88" spans="1:26" ht="15.75" customHeight="1" x14ac:dyDescent="0.25">
      <c r="A88" s="17" t="s">
        <v>168</v>
      </c>
      <c r="B88" s="18" t="s">
        <v>169</v>
      </c>
      <c r="C88" s="27">
        <v>4000000</v>
      </c>
      <c r="D88" s="34"/>
      <c r="E88" s="20">
        <f>C88+D88</f>
        <v>4000000</v>
      </c>
      <c r="F88" s="19"/>
      <c r="G88" s="19"/>
      <c r="H88" s="19"/>
      <c r="I88" s="19">
        <v>2500000</v>
      </c>
      <c r="J88" s="19"/>
      <c r="K88" s="28"/>
      <c r="L88" s="19"/>
      <c r="M88" s="19"/>
      <c r="N88" s="19"/>
      <c r="O88" s="62"/>
      <c r="P88" s="19"/>
      <c r="Q88" s="19"/>
      <c r="R88" s="27">
        <f>SUM(F88:Q88)</f>
        <v>2500000</v>
      </c>
      <c r="S88" s="36">
        <f>E88-R88</f>
        <v>1500000</v>
      </c>
      <c r="T88" s="11"/>
      <c r="U88" s="11"/>
      <c r="V88" s="11"/>
      <c r="W88" s="11"/>
      <c r="X88" s="11"/>
      <c r="Y88" s="11"/>
      <c r="Z88" s="11"/>
    </row>
    <row r="89" spans="1:26" ht="28.5" customHeight="1" x14ac:dyDescent="0.25">
      <c r="A89" s="17" t="s">
        <v>367</v>
      </c>
      <c r="B89" s="64" t="s">
        <v>368</v>
      </c>
      <c r="C89" s="27">
        <v>37500</v>
      </c>
      <c r="D89" s="34"/>
      <c r="E89" s="20">
        <f>C89+D89</f>
        <v>37500</v>
      </c>
      <c r="F89" s="19"/>
      <c r="G89" s="19"/>
      <c r="H89" s="19"/>
      <c r="I89" s="19"/>
      <c r="J89" s="19"/>
      <c r="K89" s="29">
        <v>5015</v>
      </c>
      <c r="L89" s="19"/>
      <c r="M89" s="19">
        <v>12537.5</v>
      </c>
      <c r="N89" s="19"/>
      <c r="O89" s="62"/>
      <c r="P89" s="19"/>
      <c r="Q89" s="19"/>
      <c r="R89" s="27">
        <f>SUM(F89:Q89)</f>
        <v>17552.5</v>
      </c>
      <c r="S89" s="36">
        <f>E89-R89</f>
        <v>19947.5</v>
      </c>
      <c r="T89" s="11"/>
      <c r="U89" s="11"/>
      <c r="V89" s="11"/>
      <c r="W89" s="11"/>
      <c r="X89" s="11"/>
      <c r="Y89" s="11"/>
      <c r="Z89" s="11"/>
    </row>
    <row r="90" spans="1:26" ht="31.5" customHeight="1" x14ac:dyDescent="0.25">
      <c r="A90" s="17" t="s">
        <v>170</v>
      </c>
      <c r="B90" s="64" t="s">
        <v>171</v>
      </c>
      <c r="C90" s="27">
        <v>90000</v>
      </c>
      <c r="D90" s="34">
        <v>610000</v>
      </c>
      <c r="E90" s="20">
        <f t="shared" ref="E90:E91" si="54">C90+D90</f>
        <v>700000</v>
      </c>
      <c r="F90" s="19"/>
      <c r="G90" s="19"/>
      <c r="H90" s="19"/>
      <c r="I90" s="19"/>
      <c r="J90" s="19">
        <v>51908.2</v>
      </c>
      <c r="K90" s="29">
        <v>353307.82</v>
      </c>
      <c r="L90" s="19"/>
      <c r="M90" s="19"/>
      <c r="N90" s="19"/>
      <c r="O90" s="62"/>
      <c r="P90" s="19"/>
      <c r="Q90" s="19"/>
      <c r="R90" s="27">
        <f>SUM(F90:Q90)</f>
        <v>405216.02</v>
      </c>
      <c r="S90" s="36">
        <f>E90-R90</f>
        <v>294783.98</v>
      </c>
      <c r="T90" s="11"/>
      <c r="U90" s="11"/>
      <c r="V90" s="11"/>
      <c r="W90" s="11"/>
      <c r="X90" s="11"/>
      <c r="Y90" s="11"/>
      <c r="Z90" s="11"/>
    </row>
    <row r="91" spans="1:26" ht="18.75" customHeight="1" x14ac:dyDescent="0.25">
      <c r="A91" s="17" t="s">
        <v>172</v>
      </c>
      <c r="B91" s="64" t="s">
        <v>173</v>
      </c>
      <c r="C91" s="27">
        <v>82992</v>
      </c>
      <c r="D91" s="34">
        <v>15000</v>
      </c>
      <c r="E91" s="20">
        <f t="shared" si="54"/>
        <v>97992</v>
      </c>
      <c r="F91" s="19"/>
      <c r="G91" s="19"/>
      <c r="H91" s="19"/>
      <c r="I91" s="19"/>
      <c r="J91" s="19"/>
      <c r="K91" s="93">
        <v>17349.96</v>
      </c>
      <c r="L91" s="19"/>
      <c r="M91" s="19">
        <v>15045</v>
      </c>
      <c r="N91" s="19"/>
      <c r="O91" s="62"/>
      <c r="P91" s="19"/>
      <c r="Q91" s="19"/>
      <c r="R91" s="27">
        <f>SUM(F91:Q91)</f>
        <v>32394.959999999999</v>
      </c>
      <c r="S91" s="36">
        <f>E91-R91</f>
        <v>65597.040000000008</v>
      </c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2" t="s">
        <v>174</v>
      </c>
      <c r="B92" s="66" t="s">
        <v>175</v>
      </c>
      <c r="C92" s="73">
        <f>SUM(C93:C105)</f>
        <v>3304735</v>
      </c>
      <c r="D92" s="73">
        <f>SUM(D93:D105)</f>
        <v>3785562.02</v>
      </c>
      <c r="E92" s="73">
        <f>SUM(E93:E105)</f>
        <v>7090297.0199999996</v>
      </c>
      <c r="F92" s="73">
        <f>SUM(F93:F105)</f>
        <v>0</v>
      </c>
      <c r="G92" s="73">
        <f t="shared" ref="G92" si="55">SUM(G93:G105)</f>
        <v>0</v>
      </c>
      <c r="H92" s="73">
        <f>SUM(H93:H105)</f>
        <v>237590.68000000002</v>
      </c>
      <c r="I92" s="73">
        <f>SUM(I93:I105)</f>
        <v>275028.2</v>
      </c>
      <c r="J92" s="73">
        <f>SUM(J93:J105)</f>
        <v>249452.21</v>
      </c>
      <c r="K92" s="73">
        <f>SUM(K93:K105)</f>
        <v>706603.95999999985</v>
      </c>
      <c r="L92" s="73">
        <f>SUM(L93:L104)</f>
        <v>580630.42999999993</v>
      </c>
      <c r="M92" s="73">
        <f>SUM(M93:M105)</f>
        <v>1242487.8799999999</v>
      </c>
      <c r="N92" s="73">
        <f>SUM(N93:N105)</f>
        <v>0</v>
      </c>
      <c r="O92" s="73">
        <f t="shared" ref="O92:Q92" si="56">SUM(O93:O105)</f>
        <v>0</v>
      </c>
      <c r="P92" s="73">
        <f>SUM(P93:P105)</f>
        <v>0</v>
      </c>
      <c r="Q92" s="73">
        <f t="shared" si="56"/>
        <v>0</v>
      </c>
      <c r="R92" s="73">
        <f>SUM(R93:R105)</f>
        <v>3291793.36</v>
      </c>
      <c r="S92" s="140">
        <f>SUM(S93:S105)</f>
        <v>3798503.66</v>
      </c>
      <c r="T92" s="11"/>
      <c r="U92" s="11"/>
      <c r="V92" s="11"/>
      <c r="W92" s="11"/>
      <c r="X92" s="11"/>
      <c r="Y92" s="11"/>
      <c r="Z92" s="11"/>
    </row>
    <row r="93" spans="1:26" ht="18.75" customHeight="1" x14ac:dyDescent="0.25">
      <c r="A93" s="17" t="s">
        <v>176</v>
      </c>
      <c r="B93" s="18" t="s">
        <v>177</v>
      </c>
      <c r="C93" s="27">
        <v>316315</v>
      </c>
      <c r="D93" s="27"/>
      <c r="E93" s="68">
        <f t="shared" ref="E93:E102" si="57">C93+D93</f>
        <v>316315</v>
      </c>
      <c r="F93" s="62"/>
      <c r="G93" s="19"/>
      <c r="H93" s="62">
        <v>69280.2</v>
      </c>
      <c r="I93" s="19"/>
      <c r="J93" s="19"/>
      <c r="K93" s="29">
        <v>57312.6</v>
      </c>
      <c r="L93" s="19">
        <v>30551.99</v>
      </c>
      <c r="M93" s="19">
        <v>55395.1</v>
      </c>
      <c r="N93" s="29"/>
      <c r="O93" s="19"/>
      <c r="P93" s="19"/>
      <c r="Q93" s="28"/>
      <c r="R93" s="19">
        <f t="shared" ref="R93:R105" si="58">SUM(F93:Q93)</f>
        <v>212539.88999999998</v>
      </c>
      <c r="S93" s="63">
        <f t="shared" ref="S93:S103" si="59">E93-R93</f>
        <v>103775.11000000002</v>
      </c>
      <c r="T93" s="11"/>
      <c r="U93" s="11"/>
      <c r="V93" s="11"/>
      <c r="W93" s="11"/>
      <c r="X93" s="11"/>
      <c r="Y93" s="11"/>
      <c r="Z93" s="11"/>
    </row>
    <row r="94" spans="1:26" ht="18.75" customHeight="1" x14ac:dyDescent="0.25">
      <c r="A94" s="17" t="s">
        <v>178</v>
      </c>
      <c r="B94" s="18" t="s">
        <v>179</v>
      </c>
      <c r="C94" s="27">
        <v>0</v>
      </c>
      <c r="D94" s="27"/>
      <c r="E94" s="68">
        <f t="shared" si="57"/>
        <v>0</v>
      </c>
      <c r="F94" s="62"/>
      <c r="G94" s="19"/>
      <c r="H94" s="62"/>
      <c r="I94" s="19"/>
      <c r="J94" s="19"/>
      <c r="K94" s="28"/>
      <c r="L94" s="19"/>
      <c r="M94" s="19"/>
      <c r="N94" s="28"/>
      <c r="O94" s="19"/>
      <c r="P94" s="19"/>
      <c r="Q94" s="28"/>
      <c r="R94" s="19">
        <f t="shared" si="58"/>
        <v>0</v>
      </c>
      <c r="S94" s="63">
        <f t="shared" si="59"/>
        <v>0</v>
      </c>
      <c r="T94" s="11"/>
      <c r="U94" s="11"/>
      <c r="V94" s="11"/>
      <c r="W94" s="11"/>
      <c r="X94" s="11"/>
      <c r="Y94" s="11"/>
      <c r="Z94" s="11"/>
    </row>
    <row r="95" spans="1:26" ht="31.5" customHeight="1" x14ac:dyDescent="0.25">
      <c r="A95" s="17" t="s">
        <v>180</v>
      </c>
      <c r="B95" s="64" t="s">
        <v>181</v>
      </c>
      <c r="C95" s="19">
        <v>1000000</v>
      </c>
      <c r="D95" s="27">
        <v>1602000</v>
      </c>
      <c r="E95" s="68">
        <f t="shared" si="57"/>
        <v>2602000</v>
      </c>
      <c r="F95" s="62"/>
      <c r="G95" s="19"/>
      <c r="H95" s="94">
        <v>31052.880000000001</v>
      </c>
      <c r="I95" s="19">
        <v>240041.2</v>
      </c>
      <c r="J95" s="19">
        <v>88024.83</v>
      </c>
      <c r="K95" s="95">
        <v>349520.72</v>
      </c>
      <c r="L95" s="19"/>
      <c r="M95" s="19">
        <v>100144.8</v>
      </c>
      <c r="N95" s="95"/>
      <c r="O95" s="19"/>
      <c r="P95" s="19"/>
      <c r="Q95" s="95"/>
      <c r="R95" s="19">
        <f t="shared" si="58"/>
        <v>808784.43</v>
      </c>
      <c r="S95" s="57">
        <f t="shared" si="59"/>
        <v>1793215.5699999998</v>
      </c>
      <c r="T95" s="11"/>
      <c r="U95" s="11"/>
      <c r="V95" s="11"/>
      <c r="W95" s="11"/>
      <c r="X95" s="11"/>
      <c r="Y95" s="11"/>
      <c r="Z95" s="11"/>
    </row>
    <row r="96" spans="1:26" ht="21.75" customHeight="1" x14ac:dyDescent="0.25">
      <c r="A96" s="17" t="s">
        <v>406</v>
      </c>
      <c r="B96" s="80" t="s">
        <v>407</v>
      </c>
      <c r="C96" s="19">
        <v>2000</v>
      </c>
      <c r="D96" s="27"/>
      <c r="E96" s="68">
        <v>2000</v>
      </c>
      <c r="F96" s="62"/>
      <c r="G96" s="19"/>
      <c r="H96" s="94"/>
      <c r="I96" s="19">
        <v>19647</v>
      </c>
      <c r="J96" s="19"/>
      <c r="K96" s="95">
        <v>15569.98</v>
      </c>
      <c r="L96" s="19"/>
      <c r="M96" s="19"/>
      <c r="N96" s="95"/>
      <c r="O96" s="19"/>
      <c r="P96" s="19"/>
      <c r="Q96" s="95"/>
      <c r="R96" s="19">
        <f t="shared" si="58"/>
        <v>35216.979999999996</v>
      </c>
      <c r="S96" s="57">
        <f t="shared" si="59"/>
        <v>-33216.979999999996</v>
      </c>
      <c r="T96" s="11"/>
      <c r="U96" s="11"/>
      <c r="V96" s="11"/>
      <c r="W96" s="11"/>
      <c r="X96" s="11"/>
      <c r="Y96" s="11"/>
      <c r="Z96" s="11"/>
    </row>
    <row r="97" spans="1:26" ht="26.25" customHeight="1" x14ac:dyDescent="0.25">
      <c r="A97" s="17" t="s">
        <v>182</v>
      </c>
      <c r="B97" s="64" t="s">
        <v>183</v>
      </c>
      <c r="C97" s="19">
        <v>425680</v>
      </c>
      <c r="D97" s="27">
        <v>50000</v>
      </c>
      <c r="E97" s="68">
        <f>C97+D97</f>
        <v>475680</v>
      </c>
      <c r="F97" s="62"/>
      <c r="G97" s="19"/>
      <c r="H97" s="94"/>
      <c r="I97" s="19"/>
      <c r="J97" s="19"/>
      <c r="K97" s="95"/>
      <c r="L97" s="19"/>
      <c r="M97" s="19">
        <v>86367.15</v>
      </c>
      <c r="N97" s="96"/>
      <c r="O97" s="19"/>
      <c r="P97" s="19"/>
      <c r="Q97" s="96"/>
      <c r="R97" s="19">
        <f t="shared" si="58"/>
        <v>86367.15</v>
      </c>
      <c r="S97" s="63">
        <f t="shared" si="59"/>
        <v>389312.85</v>
      </c>
      <c r="T97" s="11"/>
      <c r="U97" s="11"/>
      <c r="V97" s="11"/>
      <c r="W97" s="11"/>
      <c r="X97" s="11"/>
      <c r="Y97" s="11"/>
      <c r="Z97" s="11"/>
    </row>
    <row r="98" spans="1:26" ht="33.75" customHeight="1" x14ac:dyDescent="0.25">
      <c r="A98" s="17" t="s">
        <v>184</v>
      </c>
      <c r="B98" s="64" t="s">
        <v>185</v>
      </c>
      <c r="C98" s="19">
        <v>8950</v>
      </c>
      <c r="D98" s="27">
        <v>403840</v>
      </c>
      <c r="E98" s="68">
        <f>C98+D98</f>
        <v>412790</v>
      </c>
      <c r="F98" s="62"/>
      <c r="G98" s="19"/>
      <c r="H98" s="94"/>
      <c r="I98" s="19"/>
      <c r="J98" s="19"/>
      <c r="K98" s="95"/>
      <c r="L98" s="19"/>
      <c r="M98" s="19">
        <v>175005.8</v>
      </c>
      <c r="N98" s="96"/>
      <c r="O98" s="19"/>
      <c r="P98" s="19"/>
      <c r="Q98" s="95"/>
      <c r="R98" s="19">
        <f t="shared" si="58"/>
        <v>175005.8</v>
      </c>
      <c r="S98" s="63">
        <f t="shared" si="59"/>
        <v>237784.2</v>
      </c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7" t="s">
        <v>186</v>
      </c>
      <c r="B99" s="18" t="s">
        <v>187</v>
      </c>
      <c r="C99" s="19">
        <v>465985</v>
      </c>
      <c r="D99" s="20">
        <v>155000</v>
      </c>
      <c r="E99" s="68">
        <f t="shared" si="57"/>
        <v>620985</v>
      </c>
      <c r="F99" s="62"/>
      <c r="G99" s="19"/>
      <c r="H99" s="19">
        <v>128974</v>
      </c>
      <c r="I99" s="28"/>
      <c r="J99" s="19"/>
      <c r="K99" s="29">
        <v>6962</v>
      </c>
      <c r="L99" s="19">
        <v>65086.64</v>
      </c>
      <c r="M99" s="19">
        <v>4956</v>
      </c>
      <c r="N99" s="29"/>
      <c r="O99" s="28"/>
      <c r="P99" s="19"/>
      <c r="Q99" s="29"/>
      <c r="R99" s="19">
        <f t="shared" si="58"/>
        <v>205978.64</v>
      </c>
      <c r="S99" s="63">
        <f t="shared" si="59"/>
        <v>415006.36</v>
      </c>
      <c r="T99" s="11"/>
      <c r="U99" s="11"/>
      <c r="V99" s="11"/>
      <c r="W99" s="11"/>
      <c r="X99" s="11"/>
      <c r="Y99" s="11"/>
      <c r="Z99" s="11"/>
    </row>
    <row r="100" spans="1:26" ht="17.25" customHeight="1" x14ac:dyDescent="0.25">
      <c r="A100" s="17" t="s">
        <v>188</v>
      </c>
      <c r="B100" s="18" t="s">
        <v>189</v>
      </c>
      <c r="C100" s="19">
        <v>191760</v>
      </c>
      <c r="D100" s="20">
        <v>50000</v>
      </c>
      <c r="E100" s="97">
        <f t="shared" si="57"/>
        <v>241760</v>
      </c>
      <c r="F100" s="62"/>
      <c r="G100" s="19"/>
      <c r="H100" s="28"/>
      <c r="I100" s="19"/>
      <c r="J100" s="29">
        <v>62437.3</v>
      </c>
      <c r="K100" s="29">
        <v>93066.6</v>
      </c>
      <c r="L100" s="19">
        <v>45076</v>
      </c>
      <c r="M100" s="29"/>
      <c r="N100" s="29"/>
      <c r="O100" s="19"/>
      <c r="P100" s="28"/>
      <c r="Q100" s="29"/>
      <c r="R100" s="19">
        <f t="shared" si="58"/>
        <v>200579.90000000002</v>
      </c>
      <c r="S100" s="57">
        <f t="shared" si="59"/>
        <v>41180.099999999977</v>
      </c>
      <c r="T100" s="11"/>
      <c r="U100" s="11"/>
      <c r="V100" s="11"/>
      <c r="W100" s="11"/>
      <c r="X100" s="11"/>
      <c r="Y100" s="11"/>
      <c r="Z100" s="11"/>
    </row>
    <row r="101" spans="1:26" ht="17.25" customHeight="1" x14ac:dyDescent="0.25">
      <c r="A101" s="17" t="s">
        <v>190</v>
      </c>
      <c r="B101" s="18" t="s">
        <v>191</v>
      </c>
      <c r="C101" s="19">
        <v>19580</v>
      </c>
      <c r="D101" s="20"/>
      <c r="E101" s="97">
        <f t="shared" si="57"/>
        <v>19580</v>
      </c>
      <c r="F101" s="62"/>
      <c r="G101" s="19"/>
      <c r="H101" s="28"/>
      <c r="I101" s="19"/>
      <c r="J101" s="29"/>
      <c r="K101" s="29"/>
      <c r="L101" s="19"/>
      <c r="M101" s="28"/>
      <c r="N101" s="29"/>
      <c r="O101" s="19"/>
      <c r="P101" s="28"/>
      <c r="Q101" s="29"/>
      <c r="R101" s="19">
        <f t="shared" si="58"/>
        <v>0</v>
      </c>
      <c r="S101" s="63">
        <f t="shared" si="59"/>
        <v>19580</v>
      </c>
      <c r="T101" s="11"/>
      <c r="U101" s="11"/>
      <c r="V101" s="11"/>
      <c r="W101" s="11"/>
      <c r="X101" s="11"/>
      <c r="Y101" s="11"/>
      <c r="Z101" s="11"/>
    </row>
    <row r="102" spans="1:26" ht="17.25" customHeight="1" x14ac:dyDescent="0.25">
      <c r="A102" s="17" t="s">
        <v>192</v>
      </c>
      <c r="B102" s="18" t="s">
        <v>193</v>
      </c>
      <c r="C102" s="19">
        <v>1000</v>
      </c>
      <c r="D102" s="20">
        <v>161000</v>
      </c>
      <c r="E102" s="97">
        <f t="shared" si="57"/>
        <v>162000</v>
      </c>
      <c r="F102" s="62"/>
      <c r="G102" s="19"/>
      <c r="H102" s="28"/>
      <c r="I102" s="19"/>
      <c r="J102" s="29">
        <v>290.87</v>
      </c>
      <c r="K102" s="29">
        <v>170443.94</v>
      </c>
      <c r="L102" s="19"/>
      <c r="M102" s="28"/>
      <c r="N102" s="28"/>
      <c r="O102" s="19"/>
      <c r="P102" s="28"/>
      <c r="Q102" s="29"/>
      <c r="R102" s="19">
        <f t="shared" si="58"/>
        <v>170734.81</v>
      </c>
      <c r="S102" s="57">
        <f t="shared" si="59"/>
        <v>-8734.8099999999977</v>
      </c>
      <c r="T102" s="11"/>
      <c r="U102" s="11"/>
      <c r="V102" s="11"/>
      <c r="W102" s="11"/>
      <c r="X102" s="11"/>
      <c r="Y102" s="11"/>
      <c r="Z102" s="11"/>
    </row>
    <row r="103" spans="1:26" ht="16.5" customHeight="1" x14ac:dyDescent="0.25">
      <c r="A103" s="17" t="s">
        <v>194</v>
      </c>
      <c r="B103" s="18" t="s">
        <v>195</v>
      </c>
      <c r="C103" s="19">
        <v>700</v>
      </c>
      <c r="D103" s="20">
        <v>673722.02</v>
      </c>
      <c r="E103" s="97">
        <f>C103+D103</f>
        <v>674422.02</v>
      </c>
      <c r="F103" s="62"/>
      <c r="G103" s="19"/>
      <c r="H103" s="28"/>
      <c r="I103" s="19"/>
      <c r="J103" s="28"/>
      <c r="K103" s="28"/>
      <c r="L103" s="19"/>
      <c r="M103" s="19">
        <v>479079.83</v>
      </c>
      <c r="N103" s="19"/>
      <c r="O103" s="19"/>
      <c r="P103" s="19"/>
      <c r="Q103" s="29"/>
      <c r="R103" s="19">
        <f t="shared" si="58"/>
        <v>479079.83</v>
      </c>
      <c r="S103" s="36">
        <f t="shared" si="59"/>
        <v>195342.19</v>
      </c>
      <c r="T103" s="11"/>
      <c r="U103" s="11"/>
      <c r="V103" s="11"/>
      <c r="W103" s="11"/>
      <c r="X103" s="11"/>
      <c r="Y103" s="11"/>
      <c r="Z103" s="11"/>
    </row>
    <row r="104" spans="1:26" ht="16.5" customHeight="1" x14ac:dyDescent="0.25">
      <c r="A104" s="17" t="s">
        <v>196</v>
      </c>
      <c r="B104" s="18" t="s">
        <v>197</v>
      </c>
      <c r="C104" s="19">
        <v>816865</v>
      </c>
      <c r="D104" s="20">
        <v>-160000</v>
      </c>
      <c r="E104" s="97">
        <f>C104+D104</f>
        <v>656865</v>
      </c>
      <c r="F104" s="62"/>
      <c r="G104" s="19"/>
      <c r="H104" s="29">
        <v>8283.6</v>
      </c>
      <c r="I104" s="19"/>
      <c r="J104" s="29">
        <v>50637.81</v>
      </c>
      <c r="K104" s="29">
        <v>2655</v>
      </c>
      <c r="L104" s="19">
        <v>439915.8</v>
      </c>
      <c r="M104" s="29">
        <v>45229.4</v>
      </c>
      <c r="N104" s="19"/>
      <c r="O104" s="19"/>
      <c r="P104" s="19"/>
      <c r="Q104" s="29"/>
      <c r="R104" s="19">
        <f t="shared" si="58"/>
        <v>546721.61</v>
      </c>
      <c r="S104" s="36">
        <f>E104-R104</f>
        <v>110143.39000000001</v>
      </c>
      <c r="T104" s="11"/>
      <c r="U104" s="11"/>
      <c r="V104" s="11"/>
      <c r="W104" s="11"/>
      <c r="X104" s="11"/>
      <c r="Y104" s="11"/>
      <c r="Z104" s="11"/>
    </row>
    <row r="105" spans="1:26" ht="16.5" customHeight="1" x14ac:dyDescent="0.25">
      <c r="A105" s="17" t="s">
        <v>198</v>
      </c>
      <c r="B105" s="18" t="s">
        <v>199</v>
      </c>
      <c r="C105" s="19">
        <v>55900</v>
      </c>
      <c r="D105" s="20">
        <v>850000</v>
      </c>
      <c r="E105" s="97">
        <f>C105+D105</f>
        <v>905900</v>
      </c>
      <c r="F105" s="62"/>
      <c r="G105" s="19"/>
      <c r="H105" s="28"/>
      <c r="I105" s="19">
        <v>15340</v>
      </c>
      <c r="J105" s="29">
        <v>48061.4</v>
      </c>
      <c r="K105" s="29">
        <v>11073.12</v>
      </c>
      <c r="L105" s="19"/>
      <c r="M105" s="19">
        <v>296309.8</v>
      </c>
      <c r="N105" s="19"/>
      <c r="O105" s="19"/>
      <c r="P105" s="19"/>
      <c r="Q105" s="29"/>
      <c r="R105" s="19">
        <f t="shared" si="58"/>
        <v>370784.32</v>
      </c>
      <c r="S105" s="36">
        <f>E105-R105</f>
        <v>535115.67999999993</v>
      </c>
      <c r="T105" s="11"/>
      <c r="U105" s="11"/>
      <c r="V105" s="11"/>
      <c r="W105" s="11"/>
      <c r="X105" s="11"/>
      <c r="Y105" s="11"/>
      <c r="Z105" s="11"/>
    </row>
    <row r="106" spans="1:26" ht="18" customHeight="1" x14ac:dyDescent="0.25">
      <c r="A106" s="82">
        <v>2.4</v>
      </c>
      <c r="B106" s="83" t="s">
        <v>200</v>
      </c>
      <c r="C106" s="8">
        <f>+C107</f>
        <v>0</v>
      </c>
      <c r="D106" s="8">
        <f>+D107</f>
        <v>0</v>
      </c>
      <c r="E106" s="8">
        <f>+E107</f>
        <v>0</v>
      </c>
      <c r="F106" s="8">
        <f>+F107</f>
        <v>0</v>
      </c>
      <c r="G106" s="8">
        <f t="shared" ref="G106:S107" si="60">+G107</f>
        <v>0</v>
      </c>
      <c r="H106" s="8">
        <f t="shared" si="60"/>
        <v>0</v>
      </c>
      <c r="I106" s="8">
        <f t="shared" si="60"/>
        <v>0</v>
      </c>
      <c r="J106" s="8">
        <f t="shared" si="60"/>
        <v>0</v>
      </c>
      <c r="K106" s="8">
        <f t="shared" si="60"/>
        <v>0</v>
      </c>
      <c r="L106" s="8">
        <f t="shared" si="60"/>
        <v>0</v>
      </c>
      <c r="M106" s="8">
        <f t="shared" si="60"/>
        <v>0</v>
      </c>
      <c r="N106" s="8">
        <f t="shared" si="60"/>
        <v>0</v>
      </c>
      <c r="O106" s="8">
        <f t="shared" si="60"/>
        <v>0</v>
      </c>
      <c r="P106" s="8">
        <f t="shared" si="60"/>
        <v>0</v>
      </c>
      <c r="Q106" s="8">
        <f t="shared" si="60"/>
        <v>0</v>
      </c>
      <c r="R106" s="8">
        <f t="shared" si="60"/>
        <v>0</v>
      </c>
      <c r="S106" s="9">
        <f t="shared" si="60"/>
        <v>0</v>
      </c>
      <c r="T106" s="11"/>
      <c r="U106" s="11"/>
      <c r="V106" s="11"/>
      <c r="W106" s="11"/>
      <c r="X106" s="11"/>
      <c r="Y106" s="11"/>
      <c r="Z106" s="11"/>
    </row>
    <row r="107" spans="1:26" ht="15.75" hidden="1" customHeight="1" x14ac:dyDescent="0.25">
      <c r="A107" s="12" t="s">
        <v>201</v>
      </c>
      <c r="B107" s="66" t="s">
        <v>202</v>
      </c>
      <c r="C107" s="73">
        <v>0</v>
      </c>
      <c r="D107" s="73">
        <f>+D108</f>
        <v>0</v>
      </c>
      <c r="E107" s="73">
        <f>+C107+D107</f>
        <v>0</v>
      </c>
      <c r="F107" s="73">
        <f>+F108</f>
        <v>0</v>
      </c>
      <c r="G107" s="73">
        <f t="shared" si="60"/>
        <v>0</v>
      </c>
      <c r="H107" s="73">
        <f t="shared" si="60"/>
        <v>0</v>
      </c>
      <c r="I107" s="73">
        <f t="shared" si="60"/>
        <v>0</v>
      </c>
      <c r="J107" s="73">
        <f t="shared" si="60"/>
        <v>0</v>
      </c>
      <c r="K107" s="73">
        <f t="shared" si="60"/>
        <v>0</v>
      </c>
      <c r="L107" s="73">
        <f t="shared" si="60"/>
        <v>0</v>
      </c>
      <c r="M107" s="73">
        <f t="shared" si="60"/>
        <v>0</v>
      </c>
      <c r="N107" s="73">
        <f t="shared" si="60"/>
        <v>0</v>
      </c>
      <c r="O107" s="73">
        <f t="shared" si="60"/>
        <v>0</v>
      </c>
      <c r="P107" s="73">
        <f t="shared" si="60"/>
        <v>0</v>
      </c>
      <c r="Q107" s="73">
        <f t="shared" si="60"/>
        <v>0</v>
      </c>
      <c r="R107" s="73">
        <f t="shared" si="60"/>
        <v>0</v>
      </c>
      <c r="S107" s="140">
        <f t="shared" si="60"/>
        <v>0</v>
      </c>
      <c r="T107" s="11"/>
      <c r="U107" s="11"/>
      <c r="V107" s="11"/>
      <c r="W107" s="11"/>
      <c r="X107" s="11"/>
      <c r="Y107" s="11"/>
      <c r="Z107" s="11"/>
    </row>
    <row r="108" spans="1:26" s="79" customFormat="1" ht="30" hidden="1" x14ac:dyDescent="0.25">
      <c r="A108" s="338" t="s">
        <v>203</v>
      </c>
      <c r="B108" s="339" t="s">
        <v>204</v>
      </c>
      <c r="C108" s="88"/>
      <c r="D108" s="76">
        <v>0</v>
      </c>
      <c r="E108" s="76">
        <f>+C108+D108</f>
        <v>0</v>
      </c>
      <c r="F108" s="76">
        <f t="shared" ref="F108:S108" si="61">+D108+E108</f>
        <v>0</v>
      </c>
      <c r="G108" s="76">
        <f t="shared" si="61"/>
        <v>0</v>
      </c>
      <c r="H108" s="76">
        <f t="shared" si="61"/>
        <v>0</v>
      </c>
      <c r="I108" s="76">
        <f t="shared" si="61"/>
        <v>0</v>
      </c>
      <c r="J108" s="76">
        <f t="shared" si="61"/>
        <v>0</v>
      </c>
      <c r="K108" s="76">
        <f t="shared" si="61"/>
        <v>0</v>
      </c>
      <c r="L108" s="76">
        <f t="shared" si="61"/>
        <v>0</v>
      </c>
      <c r="M108" s="76">
        <f t="shared" si="61"/>
        <v>0</v>
      </c>
      <c r="N108" s="76">
        <f t="shared" si="61"/>
        <v>0</v>
      </c>
      <c r="O108" s="76">
        <f t="shared" si="61"/>
        <v>0</v>
      </c>
      <c r="P108" s="76">
        <f t="shared" si="61"/>
        <v>0</v>
      </c>
      <c r="Q108" s="76">
        <f t="shared" si="61"/>
        <v>0</v>
      </c>
      <c r="R108" s="76">
        <f t="shared" si="61"/>
        <v>0</v>
      </c>
      <c r="S108" s="76">
        <f t="shared" si="61"/>
        <v>0</v>
      </c>
      <c r="T108" s="11"/>
      <c r="U108" s="11"/>
      <c r="V108" s="11"/>
      <c r="W108" s="11"/>
      <c r="X108" s="11"/>
      <c r="Y108" s="11"/>
      <c r="Z108" s="11"/>
    </row>
    <row r="109" spans="1:26" ht="18" customHeight="1" x14ac:dyDescent="0.25">
      <c r="A109" s="82">
        <v>2.6</v>
      </c>
      <c r="B109" s="83" t="s">
        <v>205</v>
      </c>
      <c r="C109" s="8">
        <f>+C110+C115+C118+C123+C136+C121+C132+C134</f>
        <v>5575640</v>
      </c>
      <c r="D109" s="8">
        <f>+D110+D115+D118+D123+D136+D121+D132+D134</f>
        <v>3715000</v>
      </c>
      <c r="E109" s="8">
        <f>+E110+E115+E118+E123+E136+E121+E132+E134</f>
        <v>9290640</v>
      </c>
      <c r="F109" s="8">
        <f t="shared" ref="F109:Q109" si="62">+F110+F115+F118+F123+F136+F121</f>
        <v>0</v>
      </c>
      <c r="G109" s="8">
        <f t="shared" si="62"/>
        <v>0</v>
      </c>
      <c r="H109" s="8">
        <f>+H110+H115+H118+H123+H136+H121+H132+H134</f>
        <v>435927.4</v>
      </c>
      <c r="I109" s="8">
        <f t="shared" si="62"/>
        <v>20001</v>
      </c>
      <c r="J109" s="8">
        <f>+J110+J115+J118+J123+J136+J121+J132+J134</f>
        <v>214574.81</v>
      </c>
      <c r="K109" s="8">
        <f t="shared" si="62"/>
        <v>2309622.3200000003</v>
      </c>
      <c r="L109" s="8">
        <f t="shared" si="62"/>
        <v>948430.79</v>
      </c>
      <c r="M109" s="8">
        <f>+M110+M115+M118+M123+M136+M121+M132+M134</f>
        <v>772847.08000000007</v>
      </c>
      <c r="N109" s="8">
        <f t="shared" si="62"/>
        <v>0</v>
      </c>
      <c r="O109" s="8">
        <f t="shared" si="62"/>
        <v>0</v>
      </c>
      <c r="P109" s="8">
        <f t="shared" si="62"/>
        <v>0</v>
      </c>
      <c r="Q109" s="8">
        <f t="shared" si="62"/>
        <v>0</v>
      </c>
      <c r="R109" s="8">
        <f>+R110+R115+R118+R123+R136+R121+R132+R134</f>
        <v>4701403.3999999994</v>
      </c>
      <c r="S109" s="8">
        <f>+S110+S115+S118+S123+S136+S121+S132+S134</f>
        <v>4589236.5999999996</v>
      </c>
      <c r="T109" s="10"/>
      <c r="U109" s="11"/>
      <c r="V109" s="11"/>
      <c r="W109" s="11"/>
      <c r="X109" s="11"/>
      <c r="Y109" s="11"/>
      <c r="Z109" s="11"/>
    </row>
    <row r="110" spans="1:26" ht="18" customHeight="1" x14ac:dyDescent="0.25">
      <c r="A110" s="12" t="s">
        <v>206</v>
      </c>
      <c r="B110" s="66" t="s">
        <v>207</v>
      </c>
      <c r="C110" s="73">
        <f>SUM(C111:C114)</f>
        <v>3061374</v>
      </c>
      <c r="D110" s="267">
        <f>SUM(D111:D114)</f>
        <v>-75100</v>
      </c>
      <c r="E110" s="73">
        <f>SUM(E111:E114)</f>
        <v>2986274</v>
      </c>
      <c r="F110" s="73">
        <f>SUM(F111:F112)</f>
        <v>0</v>
      </c>
      <c r="G110" s="73">
        <f t="shared" ref="G110:J110" si="63">SUM(G111:G112)</f>
        <v>0</v>
      </c>
      <c r="H110" s="73">
        <f t="shared" si="63"/>
        <v>0</v>
      </c>
      <c r="I110" s="73">
        <f t="shared" si="63"/>
        <v>20001</v>
      </c>
      <c r="J110" s="73">
        <f t="shared" si="63"/>
        <v>16402</v>
      </c>
      <c r="K110" s="73">
        <f>SUM(K111:K114)</f>
        <v>710404.81</v>
      </c>
      <c r="L110" s="73">
        <f>SUM(L111:L117)</f>
        <v>948430.79</v>
      </c>
      <c r="M110" s="73">
        <f>SUM(M111:M117)</f>
        <v>249900.4</v>
      </c>
      <c r="N110" s="73">
        <f>SUM(N111:N117)</f>
        <v>0</v>
      </c>
      <c r="O110" s="73">
        <f>SUM(O111:O117)</f>
        <v>0</v>
      </c>
      <c r="P110" s="73">
        <f>SUM(P111:P117)</f>
        <v>0</v>
      </c>
      <c r="Q110" s="73">
        <f>SUM(Q111:Q112)</f>
        <v>0</v>
      </c>
      <c r="R110" s="73">
        <f>SUM(R111:R117)</f>
        <v>1945139</v>
      </c>
      <c r="S110" s="140">
        <f>SUM(S111:S114)</f>
        <v>1041135</v>
      </c>
      <c r="T110" s="11"/>
      <c r="U110" s="11"/>
      <c r="V110" s="11"/>
      <c r="W110" s="11"/>
      <c r="X110" s="11"/>
      <c r="Y110" s="11"/>
      <c r="Z110" s="11"/>
    </row>
    <row r="111" spans="1:26" ht="18" customHeight="1" x14ac:dyDescent="0.25">
      <c r="A111" s="17" t="s">
        <v>208</v>
      </c>
      <c r="B111" s="64" t="s">
        <v>209</v>
      </c>
      <c r="C111" s="27">
        <v>2560524</v>
      </c>
      <c r="D111" s="20">
        <v>-63500</v>
      </c>
      <c r="E111" s="98">
        <f>C111+D111</f>
        <v>2497024</v>
      </c>
      <c r="F111" s="27"/>
      <c r="G111" s="99"/>
      <c r="H111" s="64"/>
      <c r="I111" s="27">
        <v>20001</v>
      </c>
      <c r="J111" s="100">
        <v>16402</v>
      </c>
      <c r="K111" s="101">
        <v>197160.3</v>
      </c>
      <c r="L111" s="27">
        <v>948430.79</v>
      </c>
      <c r="M111" s="100"/>
      <c r="N111" s="101"/>
      <c r="O111" s="27"/>
      <c r="P111" s="99"/>
      <c r="Q111" s="101"/>
      <c r="R111" s="27">
        <f>SUM(F111:Q111)</f>
        <v>1181994.0900000001</v>
      </c>
      <c r="S111" s="57">
        <f>E111-R111</f>
        <v>1315029.9099999999</v>
      </c>
      <c r="T111" s="11"/>
      <c r="U111" s="11"/>
      <c r="V111" s="11"/>
      <c r="W111" s="11"/>
      <c r="X111" s="11"/>
      <c r="Y111" s="11"/>
      <c r="Z111" s="11"/>
    </row>
    <row r="112" spans="1:26" ht="27.75" customHeight="1" x14ac:dyDescent="0.25">
      <c r="A112" s="17" t="s">
        <v>210</v>
      </c>
      <c r="B112" s="64" t="s">
        <v>423</v>
      </c>
      <c r="C112" s="27"/>
      <c r="D112" s="20"/>
      <c r="E112" s="98"/>
      <c r="F112" s="27"/>
      <c r="G112" s="99"/>
      <c r="H112" s="64"/>
      <c r="I112" s="27"/>
      <c r="J112" s="99"/>
      <c r="K112" s="64"/>
      <c r="L112" s="27"/>
      <c r="M112" s="99"/>
      <c r="N112" s="64"/>
      <c r="O112" s="27"/>
      <c r="P112" s="100"/>
      <c r="Q112" s="101"/>
      <c r="R112" s="27">
        <f t="shared" ref="R112" si="64">SUM(F112:Q112)</f>
        <v>0</v>
      </c>
      <c r="S112" s="57">
        <f>E112-R112</f>
        <v>0</v>
      </c>
      <c r="T112" s="11"/>
      <c r="U112" s="11"/>
      <c r="V112" s="11"/>
      <c r="W112" s="11"/>
      <c r="X112" s="11"/>
      <c r="Y112" s="11"/>
      <c r="Z112" s="11"/>
    </row>
    <row r="113" spans="1:26" ht="20.25" customHeight="1" x14ac:dyDescent="0.25">
      <c r="A113" s="17" t="s">
        <v>211</v>
      </c>
      <c r="B113" s="64" t="s">
        <v>212</v>
      </c>
      <c r="C113" s="27">
        <v>400850</v>
      </c>
      <c r="D113" s="20">
        <v>-11600</v>
      </c>
      <c r="E113" s="98">
        <f t="shared" ref="E113:E117" si="65">C113+D113</f>
        <v>389250</v>
      </c>
      <c r="F113" s="27"/>
      <c r="G113" s="99"/>
      <c r="H113" s="64"/>
      <c r="I113" s="27"/>
      <c r="J113" s="99"/>
      <c r="K113" s="101">
        <v>357112.2</v>
      </c>
      <c r="L113" s="27"/>
      <c r="M113" s="100">
        <v>249900.4</v>
      </c>
      <c r="N113" s="64"/>
      <c r="O113" s="27"/>
      <c r="P113" s="100"/>
      <c r="Q113" s="101"/>
      <c r="R113" s="27">
        <f>SUM(F113:Q113)</f>
        <v>607012.6</v>
      </c>
      <c r="S113" s="57">
        <f>E113-R113</f>
        <v>-217762.59999999998</v>
      </c>
      <c r="T113" s="11"/>
      <c r="U113" s="11"/>
      <c r="V113" s="11"/>
      <c r="W113" s="11"/>
      <c r="X113" s="11"/>
      <c r="Y113" s="11"/>
      <c r="Z113" s="11"/>
    </row>
    <row r="114" spans="1:26" ht="21" customHeight="1" x14ac:dyDescent="0.25">
      <c r="A114" s="17" t="s">
        <v>290</v>
      </c>
      <c r="B114" s="64" t="s">
        <v>369</v>
      </c>
      <c r="C114" s="27">
        <v>100000</v>
      </c>
      <c r="D114" s="20"/>
      <c r="E114" s="98">
        <f t="shared" si="65"/>
        <v>100000</v>
      </c>
      <c r="F114" s="27"/>
      <c r="G114" s="99"/>
      <c r="H114" s="64"/>
      <c r="I114" s="27"/>
      <c r="J114" s="99"/>
      <c r="K114" s="101">
        <v>156132.31</v>
      </c>
      <c r="L114" s="27"/>
      <c r="M114" s="99"/>
      <c r="N114" s="64"/>
      <c r="O114" s="27"/>
      <c r="P114" s="100"/>
      <c r="Q114" s="101"/>
      <c r="R114" s="27">
        <f>SUM(F114:Q114)</f>
        <v>156132.31</v>
      </c>
      <c r="S114" s="57">
        <f>E114-R114</f>
        <v>-56132.31</v>
      </c>
      <c r="T114" s="11"/>
      <c r="U114" s="11"/>
      <c r="V114" s="11"/>
      <c r="W114" s="11"/>
      <c r="X114" s="11"/>
      <c r="Y114" s="11"/>
      <c r="Z114" s="11"/>
    </row>
    <row r="115" spans="1:26" ht="29.25" customHeight="1" x14ac:dyDescent="0.25">
      <c r="A115" s="12" t="s">
        <v>370</v>
      </c>
      <c r="B115" s="66" t="s">
        <v>371</v>
      </c>
      <c r="C115" s="73">
        <f>+C116+C117</f>
        <v>290960</v>
      </c>
      <c r="D115" s="73">
        <f>+D116+D117</f>
        <v>0</v>
      </c>
      <c r="E115" s="73">
        <f t="shared" ref="E115" si="66">+E116+E117</f>
        <v>290960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0">
        <f>SUM(S116:S117)</f>
        <v>290960</v>
      </c>
      <c r="T115" s="11"/>
      <c r="U115" s="11"/>
      <c r="V115" s="11"/>
      <c r="W115" s="11"/>
      <c r="X115" s="11"/>
      <c r="Y115" s="11"/>
      <c r="Z115" s="11"/>
    </row>
    <row r="116" spans="1:26" ht="16.5" customHeight="1" x14ac:dyDescent="0.25">
      <c r="A116" s="17" t="s">
        <v>213</v>
      </c>
      <c r="B116" s="64" t="s">
        <v>214</v>
      </c>
      <c r="C116" s="27">
        <v>207980</v>
      </c>
      <c r="D116" s="20"/>
      <c r="E116" s="98">
        <f t="shared" si="65"/>
        <v>207980</v>
      </c>
      <c r="F116" s="27"/>
      <c r="G116" s="99"/>
      <c r="H116" s="64"/>
      <c r="I116" s="27"/>
      <c r="J116" s="99"/>
      <c r="K116" s="64"/>
      <c r="L116" s="27"/>
      <c r="M116" s="99"/>
      <c r="N116" s="101"/>
      <c r="O116" s="27"/>
      <c r="P116" s="99"/>
      <c r="Q116" s="101"/>
      <c r="R116" s="27">
        <f t="shared" ref="R116:R117" si="67">SUM(F116:Q116)</f>
        <v>0</v>
      </c>
      <c r="S116" s="57">
        <f>E116-R116</f>
        <v>207980</v>
      </c>
      <c r="T116" s="11"/>
      <c r="U116" s="11"/>
      <c r="V116" s="11"/>
      <c r="W116" s="11"/>
      <c r="X116" s="11"/>
      <c r="Y116" s="11"/>
      <c r="Z116" s="11"/>
    </row>
    <row r="117" spans="1:26" ht="19.5" customHeight="1" x14ac:dyDescent="0.25">
      <c r="A117" s="17" t="s">
        <v>215</v>
      </c>
      <c r="B117" s="64" t="s">
        <v>216</v>
      </c>
      <c r="C117" s="27">
        <v>82980</v>
      </c>
      <c r="D117" s="20"/>
      <c r="E117" s="98">
        <f t="shared" si="65"/>
        <v>82980</v>
      </c>
      <c r="F117" s="27"/>
      <c r="G117" s="99"/>
      <c r="H117" s="64"/>
      <c r="I117" s="27"/>
      <c r="J117" s="99"/>
      <c r="K117" s="64"/>
      <c r="L117" s="27"/>
      <c r="M117" s="99"/>
      <c r="N117" s="101"/>
      <c r="O117" s="27"/>
      <c r="P117" s="99"/>
      <c r="Q117" s="101"/>
      <c r="R117" s="27">
        <f t="shared" si="67"/>
        <v>0</v>
      </c>
      <c r="S117" s="57">
        <f>E117-R117</f>
        <v>82980</v>
      </c>
      <c r="T117" s="11"/>
      <c r="U117" s="11"/>
      <c r="V117" s="11"/>
      <c r="W117" s="11"/>
      <c r="X117" s="11"/>
      <c r="Y117" s="11"/>
      <c r="Z117" s="11"/>
    </row>
    <row r="118" spans="1:26" ht="30" x14ac:dyDescent="0.25">
      <c r="A118" s="12" t="s">
        <v>217</v>
      </c>
      <c r="B118" s="66" t="s">
        <v>218</v>
      </c>
      <c r="C118" s="55">
        <f>SUM(C119:C120)</f>
        <v>700</v>
      </c>
      <c r="D118" s="55">
        <f>SUM(D119:D120)</f>
        <v>111600</v>
      </c>
      <c r="E118" s="55">
        <f t="shared" ref="E118:F118" si="68">SUM(E119:E120)</f>
        <v>112300</v>
      </c>
      <c r="F118" s="55">
        <f t="shared" si="68"/>
        <v>0</v>
      </c>
      <c r="G118" s="55">
        <f t="shared" ref="G118" si="69">SUM(G119:G120)</f>
        <v>0</v>
      </c>
      <c r="H118" s="55">
        <f t="shared" ref="H118" si="70">SUM(H119:H120)</f>
        <v>0</v>
      </c>
      <c r="I118" s="55">
        <f t="shared" ref="I118" si="71">SUM(I119:I120)</f>
        <v>0</v>
      </c>
      <c r="J118" s="55">
        <f t="shared" ref="J118" si="72">SUM(J119:J120)</f>
        <v>0</v>
      </c>
      <c r="K118" s="55">
        <f t="shared" ref="K118" si="73">SUM(K119:K120)</f>
        <v>0</v>
      </c>
      <c r="L118" s="55">
        <f t="shared" ref="L118" si="74">SUM(L119:L120)</f>
        <v>0</v>
      </c>
      <c r="M118" s="55">
        <f t="shared" ref="M118" si="75">SUM(M119:M120)</f>
        <v>87907.64</v>
      </c>
      <c r="N118" s="55">
        <f t="shared" ref="N118" si="76">SUM(N119:N120)</f>
        <v>0</v>
      </c>
      <c r="O118" s="55">
        <f t="shared" ref="O118" si="77">SUM(O119:O120)</f>
        <v>0</v>
      </c>
      <c r="P118" s="55">
        <f t="shared" ref="P118" si="78">SUM(P119:P120)</f>
        <v>0</v>
      </c>
      <c r="Q118" s="55">
        <f t="shared" ref="Q118" si="79">SUM(Q119:Q120)</f>
        <v>0</v>
      </c>
      <c r="R118" s="55">
        <f t="shared" ref="R118" si="80">SUM(R119:R120)</f>
        <v>87907.64</v>
      </c>
      <c r="S118" s="56">
        <f>SUM(S119:S120)</f>
        <v>24392.359999999997</v>
      </c>
      <c r="T118" s="11"/>
      <c r="U118" s="102"/>
      <c r="V118" s="11"/>
      <c r="W118" s="11"/>
      <c r="X118" s="11"/>
      <c r="Y118" s="11"/>
      <c r="Z118" s="11"/>
    </row>
    <row r="119" spans="1:26" ht="20.25" customHeight="1" x14ac:dyDescent="0.25">
      <c r="A119" s="17" t="s">
        <v>372</v>
      </c>
      <c r="B119" s="64" t="s">
        <v>373</v>
      </c>
      <c r="C119" s="97">
        <v>700</v>
      </c>
      <c r="D119" s="100">
        <v>11600</v>
      </c>
      <c r="E119" s="98">
        <f>+C119+D119</f>
        <v>12300</v>
      </c>
      <c r="F119" s="97"/>
      <c r="G119" s="99"/>
      <c r="H119" s="64"/>
      <c r="I119" s="97"/>
      <c r="J119" s="99"/>
      <c r="K119" s="64"/>
      <c r="L119" s="97"/>
      <c r="M119" s="100">
        <v>11549.84</v>
      </c>
      <c r="N119" s="64"/>
      <c r="O119" s="97"/>
      <c r="P119" s="99"/>
      <c r="Q119" s="64"/>
      <c r="R119" s="97">
        <f>SUM(F119:Q119)</f>
        <v>11549.84</v>
      </c>
      <c r="S119" s="103">
        <f>+E119-R119</f>
        <v>750.15999999999985</v>
      </c>
      <c r="T119" s="11"/>
      <c r="U119" s="11"/>
      <c r="V119" s="11"/>
      <c r="W119" s="11"/>
      <c r="X119" s="11"/>
      <c r="Y119" s="11"/>
      <c r="Z119" s="11"/>
    </row>
    <row r="120" spans="1:26" ht="26.25" customHeight="1" x14ac:dyDescent="0.25">
      <c r="A120" s="17" t="s">
        <v>389</v>
      </c>
      <c r="B120" s="64" t="s">
        <v>390</v>
      </c>
      <c r="C120" s="97"/>
      <c r="D120" s="100">
        <v>100000</v>
      </c>
      <c r="E120" s="98">
        <f>+C120+D120</f>
        <v>100000</v>
      </c>
      <c r="F120" s="97"/>
      <c r="G120" s="99"/>
      <c r="H120" s="64"/>
      <c r="I120" s="97"/>
      <c r="J120" s="99"/>
      <c r="K120" s="64"/>
      <c r="L120" s="97"/>
      <c r="M120" s="100">
        <v>76357.8</v>
      </c>
      <c r="N120" s="64"/>
      <c r="O120" s="97"/>
      <c r="P120" s="99"/>
      <c r="Q120" s="64"/>
      <c r="R120" s="97">
        <f>SUM(F120:Q120)</f>
        <v>76357.8</v>
      </c>
      <c r="S120" s="103">
        <f>+E120-R120</f>
        <v>23642.199999999997</v>
      </c>
      <c r="T120" s="11"/>
      <c r="U120" s="11"/>
      <c r="V120" s="11"/>
      <c r="W120" s="11"/>
      <c r="X120" s="11"/>
      <c r="Y120" s="11"/>
      <c r="Z120" s="11"/>
    </row>
    <row r="121" spans="1:26" ht="30" x14ac:dyDescent="0.25">
      <c r="A121" s="12" t="s">
        <v>219</v>
      </c>
      <c r="B121" s="66" t="s">
        <v>384</v>
      </c>
      <c r="C121" s="55"/>
      <c r="D121" s="55">
        <f>+D122</f>
        <v>160000</v>
      </c>
      <c r="E121" s="55">
        <f t="shared" ref="E121" si="81">+E122</f>
        <v>160000</v>
      </c>
      <c r="F121" s="38">
        <f>+F122</f>
        <v>0</v>
      </c>
      <c r="G121" s="38">
        <f t="shared" ref="G121:Q121" si="82">+G122</f>
        <v>0</v>
      </c>
      <c r="H121" s="55">
        <f t="shared" si="82"/>
        <v>155760</v>
      </c>
      <c r="I121" s="55">
        <f t="shared" si="82"/>
        <v>0</v>
      </c>
      <c r="J121" s="55">
        <f t="shared" si="82"/>
        <v>0</v>
      </c>
      <c r="K121" s="55">
        <f t="shared" si="82"/>
        <v>0</v>
      </c>
      <c r="L121" s="55">
        <f t="shared" si="82"/>
        <v>0</v>
      </c>
      <c r="M121" s="55">
        <f t="shared" si="82"/>
        <v>0</v>
      </c>
      <c r="N121" s="55">
        <f t="shared" si="82"/>
        <v>0</v>
      </c>
      <c r="O121" s="55">
        <f t="shared" si="82"/>
        <v>0</v>
      </c>
      <c r="P121" s="55">
        <f t="shared" si="82"/>
        <v>0</v>
      </c>
      <c r="Q121" s="55">
        <f t="shared" si="82"/>
        <v>0</v>
      </c>
      <c r="R121" s="55">
        <f>+R122</f>
        <v>155760</v>
      </c>
      <c r="S121" s="56">
        <f>+S122</f>
        <v>4240</v>
      </c>
      <c r="T121" s="11"/>
      <c r="U121" s="102"/>
      <c r="V121" s="11"/>
      <c r="W121" s="11"/>
      <c r="X121" s="11"/>
      <c r="Y121" s="11"/>
      <c r="Z121" s="11"/>
    </row>
    <row r="122" spans="1:26" ht="20.25" customHeight="1" x14ac:dyDescent="0.25">
      <c r="A122" s="17" t="s">
        <v>383</v>
      </c>
      <c r="B122" s="64" t="s">
        <v>385</v>
      </c>
      <c r="C122" s="97"/>
      <c r="D122" s="100">
        <v>160000</v>
      </c>
      <c r="E122" s="98">
        <f>+C122+D122</f>
        <v>160000</v>
      </c>
      <c r="F122" s="97"/>
      <c r="G122" s="99"/>
      <c r="H122" s="101">
        <v>155760</v>
      </c>
      <c r="I122" s="97"/>
      <c r="J122" s="99"/>
      <c r="K122" s="64"/>
      <c r="L122" s="97"/>
      <c r="M122" s="99"/>
      <c r="N122" s="64"/>
      <c r="O122" s="97"/>
      <c r="P122" s="99"/>
      <c r="Q122" s="64"/>
      <c r="R122" s="97">
        <f>SUM(F122:Q122)</f>
        <v>155760</v>
      </c>
      <c r="S122" s="103">
        <f>+E122-R122</f>
        <v>4240</v>
      </c>
      <c r="T122" s="11"/>
      <c r="U122" s="11"/>
      <c r="V122" s="11"/>
      <c r="W122" s="11"/>
      <c r="X122" s="11"/>
      <c r="Y122" s="11"/>
      <c r="Z122" s="11"/>
    </row>
    <row r="123" spans="1:26" ht="15" x14ac:dyDescent="0.25">
      <c r="A123" s="12" t="s">
        <v>223</v>
      </c>
      <c r="B123" s="66" t="s">
        <v>224</v>
      </c>
      <c r="C123" s="55">
        <f>SUM(C124:C131)</f>
        <v>661600</v>
      </c>
      <c r="D123" s="55">
        <f>SUM(D124:D131)</f>
        <v>698500</v>
      </c>
      <c r="E123" s="55">
        <f>SUM(E124:E131)</f>
        <v>1360100</v>
      </c>
      <c r="F123" s="38">
        <f t="shared" ref="F123:Q123" si="83">SUM(F124:F131)</f>
        <v>0</v>
      </c>
      <c r="G123" s="38">
        <f t="shared" si="83"/>
        <v>0</v>
      </c>
      <c r="H123" s="55">
        <f>SUM(H124:H131)</f>
        <v>280167.40000000002</v>
      </c>
      <c r="I123" s="55">
        <f t="shared" si="83"/>
        <v>0</v>
      </c>
      <c r="J123" s="55">
        <f>SUM(J124:J131)</f>
        <v>110499.99</v>
      </c>
      <c r="K123" s="55">
        <f>SUM(K124:K131)</f>
        <v>189822.28</v>
      </c>
      <c r="L123" s="55">
        <f t="shared" si="83"/>
        <v>0</v>
      </c>
      <c r="M123" s="55">
        <f>SUM(M124:M131)</f>
        <v>345672.74</v>
      </c>
      <c r="N123" s="55">
        <f t="shared" si="83"/>
        <v>0</v>
      </c>
      <c r="O123" s="55">
        <f t="shared" si="83"/>
        <v>0</v>
      </c>
      <c r="P123" s="55">
        <f t="shared" si="83"/>
        <v>0</v>
      </c>
      <c r="Q123" s="55">
        <f t="shared" si="83"/>
        <v>0</v>
      </c>
      <c r="R123" s="55">
        <f>SUM(R124:R131)</f>
        <v>926162.41</v>
      </c>
      <c r="S123" s="55">
        <f>SUM(S124:S131)</f>
        <v>433937.59</v>
      </c>
      <c r="T123" s="11"/>
      <c r="U123" s="102"/>
      <c r="V123" s="11"/>
      <c r="W123" s="11"/>
      <c r="X123" s="11"/>
      <c r="Y123" s="11"/>
      <c r="Z123" s="11"/>
    </row>
    <row r="124" spans="1:26" ht="15" x14ac:dyDescent="0.25">
      <c r="A124" s="17" t="s">
        <v>374</v>
      </c>
      <c r="B124" s="18" t="s">
        <v>375</v>
      </c>
      <c r="C124" s="353">
        <v>65100</v>
      </c>
      <c r="D124" s="27"/>
      <c r="E124" s="27">
        <f>+C124+D124</f>
        <v>65100</v>
      </c>
      <c r="F124" s="105"/>
      <c r="G124" s="105"/>
      <c r="H124" s="105"/>
      <c r="I124" s="105"/>
      <c r="J124" s="27">
        <v>21999.99</v>
      </c>
      <c r="K124" s="105"/>
      <c r="L124" s="105"/>
      <c r="M124" s="27">
        <v>41232.74</v>
      </c>
      <c r="N124" s="27"/>
      <c r="O124" s="105"/>
      <c r="P124" s="105"/>
      <c r="Q124" s="105"/>
      <c r="R124" s="27">
        <f>SUM(F124:Q124)</f>
        <v>63232.729999999996</v>
      </c>
      <c r="S124" s="57">
        <f t="shared" ref="S124:S127" si="84">+E124-R124</f>
        <v>1867.2700000000041</v>
      </c>
      <c r="T124" s="58"/>
      <c r="U124" s="106"/>
      <c r="V124" s="58"/>
      <c r="W124" s="58"/>
      <c r="X124" s="58"/>
      <c r="Y124" s="58"/>
      <c r="Z124" s="58"/>
    </row>
    <row r="125" spans="1:26" ht="30" x14ac:dyDescent="0.25">
      <c r="A125" s="17" t="s">
        <v>378</v>
      </c>
      <c r="B125" s="64" t="s">
        <v>431</v>
      </c>
      <c r="C125" s="353"/>
      <c r="D125" s="27">
        <v>63500</v>
      </c>
      <c r="E125" s="27">
        <f>+C125+D125</f>
        <v>63500</v>
      </c>
      <c r="F125" s="105"/>
      <c r="G125" s="105"/>
      <c r="H125" s="105"/>
      <c r="I125" s="105"/>
      <c r="J125" s="105"/>
      <c r="K125" s="105"/>
      <c r="L125" s="105"/>
      <c r="M125" s="105"/>
      <c r="N125" s="27"/>
      <c r="O125" s="105"/>
      <c r="P125" s="105"/>
      <c r="Q125" s="105"/>
      <c r="R125" s="27">
        <f>SUM(F125:Q125)</f>
        <v>0</v>
      </c>
      <c r="S125" s="57">
        <f t="shared" si="84"/>
        <v>63500</v>
      </c>
      <c r="T125" s="58"/>
      <c r="U125" s="106"/>
      <c r="V125" s="58"/>
      <c r="W125" s="58"/>
      <c r="X125" s="58"/>
      <c r="Y125" s="58"/>
      <c r="Z125" s="58"/>
    </row>
    <row r="126" spans="1:26" ht="15.75" customHeight="1" x14ac:dyDescent="0.25">
      <c r="A126" s="17" t="s">
        <v>294</v>
      </c>
      <c r="B126" s="18" t="s">
        <v>299</v>
      </c>
      <c r="C126" s="353">
        <v>165000</v>
      </c>
      <c r="D126" s="27">
        <v>-90000</v>
      </c>
      <c r="E126" s="27">
        <f t="shared" ref="E126:E131" si="85">+C126+D126</f>
        <v>75000</v>
      </c>
      <c r="F126" s="105"/>
      <c r="G126" s="105"/>
      <c r="H126" s="27">
        <v>59000</v>
      </c>
      <c r="I126" s="105"/>
      <c r="J126" s="105"/>
      <c r="K126" s="105"/>
      <c r="L126" s="105"/>
      <c r="M126" s="105"/>
      <c r="N126" s="105"/>
      <c r="O126" s="105"/>
      <c r="P126" s="105"/>
      <c r="Q126" s="27"/>
      <c r="R126" s="27">
        <f>SUM(F126:Q126)</f>
        <v>59000</v>
      </c>
      <c r="S126" s="57">
        <f t="shared" si="84"/>
        <v>16000</v>
      </c>
      <c r="T126" s="58"/>
      <c r="U126" s="106"/>
      <c r="V126" s="58"/>
      <c r="W126" s="58"/>
      <c r="X126" s="58"/>
      <c r="Y126" s="58"/>
      <c r="Z126" s="58"/>
    </row>
    <row r="127" spans="1:26" ht="15.75" customHeight="1" x14ac:dyDescent="0.25">
      <c r="A127" s="17" t="s">
        <v>417</v>
      </c>
      <c r="B127" s="18" t="s">
        <v>418</v>
      </c>
      <c r="C127" s="353"/>
      <c r="D127" s="27">
        <v>125000</v>
      </c>
      <c r="E127" s="27">
        <f t="shared" si="85"/>
        <v>125000</v>
      </c>
      <c r="F127" s="105"/>
      <c r="G127" s="105"/>
      <c r="H127" s="27"/>
      <c r="I127" s="105"/>
      <c r="J127" s="105"/>
      <c r="K127" s="27">
        <v>117000</v>
      </c>
      <c r="L127" s="105"/>
      <c r="M127" s="27">
        <v>92040</v>
      </c>
      <c r="N127" s="105"/>
      <c r="O127" s="105"/>
      <c r="P127" s="105"/>
      <c r="Q127" s="27"/>
      <c r="R127" s="27">
        <f>SUM(F127:Q127)</f>
        <v>209040</v>
      </c>
      <c r="S127" s="57">
        <f t="shared" si="84"/>
        <v>-84040</v>
      </c>
      <c r="T127" s="58"/>
      <c r="U127" s="106"/>
      <c r="V127" s="58"/>
      <c r="W127" s="58"/>
      <c r="X127" s="58"/>
      <c r="Y127" s="58"/>
      <c r="Z127" s="58"/>
    </row>
    <row r="128" spans="1:26" ht="28.5" customHeight="1" x14ac:dyDescent="0.25">
      <c r="A128" s="17" t="s">
        <v>225</v>
      </c>
      <c r="B128" s="104" t="s">
        <v>226</v>
      </c>
      <c r="C128" s="354">
        <v>206400</v>
      </c>
      <c r="D128" s="27">
        <v>251000</v>
      </c>
      <c r="E128" s="27">
        <f t="shared" si="85"/>
        <v>457400</v>
      </c>
      <c r="F128" s="105"/>
      <c r="G128" s="105"/>
      <c r="H128" s="27">
        <v>77301.8</v>
      </c>
      <c r="I128" s="105"/>
      <c r="J128" s="105"/>
      <c r="K128" s="105"/>
      <c r="L128" s="105"/>
      <c r="M128" s="27">
        <v>212400</v>
      </c>
      <c r="N128" s="27"/>
      <c r="O128" s="105"/>
      <c r="P128" s="105"/>
      <c r="Q128" s="105"/>
      <c r="R128" s="27">
        <f t="shared" ref="R128:R137" si="86">SUM(F128:Q128)</f>
        <v>289701.8</v>
      </c>
      <c r="S128" s="57">
        <f>+E128-R128</f>
        <v>167698.20000000001</v>
      </c>
      <c r="T128" s="58"/>
      <c r="U128" s="106"/>
      <c r="V128" s="58"/>
      <c r="W128" s="58"/>
      <c r="X128" s="58"/>
      <c r="Y128" s="58"/>
      <c r="Z128" s="58"/>
    </row>
    <row r="129" spans="1:26" ht="15" x14ac:dyDescent="0.25">
      <c r="A129" s="17" t="s">
        <v>227</v>
      </c>
      <c r="B129" s="64" t="s">
        <v>228</v>
      </c>
      <c r="C129" s="354">
        <v>187000</v>
      </c>
      <c r="D129" s="27">
        <v>-30000</v>
      </c>
      <c r="E129" s="27">
        <f t="shared" si="85"/>
        <v>157000</v>
      </c>
      <c r="F129" s="105"/>
      <c r="G129" s="105"/>
      <c r="H129" s="27">
        <v>58433.599999999999</v>
      </c>
      <c r="I129" s="105"/>
      <c r="J129" s="105"/>
      <c r="K129" s="27">
        <v>59590</v>
      </c>
      <c r="L129" s="105"/>
      <c r="M129" s="105"/>
      <c r="N129" s="105"/>
      <c r="O129" s="105"/>
      <c r="P129" s="105"/>
      <c r="Q129" s="27"/>
      <c r="R129" s="27">
        <f t="shared" si="86"/>
        <v>118023.6</v>
      </c>
      <c r="S129" s="57">
        <f>+E129-R129</f>
        <v>38976.399999999994</v>
      </c>
      <c r="T129" s="58"/>
      <c r="U129" s="106"/>
      <c r="V129" s="58"/>
      <c r="W129" s="58"/>
      <c r="X129" s="58"/>
      <c r="Y129" s="58"/>
      <c r="Z129" s="58"/>
    </row>
    <row r="130" spans="1:26" ht="15" x14ac:dyDescent="0.25">
      <c r="A130" s="17" t="s">
        <v>386</v>
      </c>
      <c r="B130" s="64" t="s">
        <v>387</v>
      </c>
      <c r="C130" s="354"/>
      <c r="D130" s="27">
        <v>79000</v>
      </c>
      <c r="E130" s="27">
        <f t="shared" si="85"/>
        <v>79000</v>
      </c>
      <c r="F130" s="105"/>
      <c r="G130" s="105"/>
      <c r="H130" s="27">
        <v>35400</v>
      </c>
      <c r="I130" s="105"/>
      <c r="J130" s="105"/>
      <c r="K130" s="27">
        <v>13232.28</v>
      </c>
      <c r="L130" s="105"/>
      <c r="M130" s="105"/>
      <c r="N130" s="105"/>
      <c r="O130" s="105"/>
      <c r="P130" s="105"/>
      <c r="Q130" s="27"/>
      <c r="R130" s="27">
        <f t="shared" si="86"/>
        <v>48632.28</v>
      </c>
      <c r="S130" s="57">
        <f>+E130-R130</f>
        <v>30367.72</v>
      </c>
      <c r="T130" s="58"/>
      <c r="U130" s="106"/>
      <c r="V130" s="58"/>
      <c r="W130" s="58"/>
      <c r="X130" s="58"/>
      <c r="Y130" s="58"/>
      <c r="Z130" s="58"/>
    </row>
    <row r="131" spans="1:26" ht="15" x14ac:dyDescent="0.25">
      <c r="A131" s="17" t="s">
        <v>229</v>
      </c>
      <c r="B131" s="64" t="s">
        <v>230</v>
      </c>
      <c r="C131" s="354">
        <v>38100</v>
      </c>
      <c r="D131" s="100">
        <v>300000</v>
      </c>
      <c r="E131" s="27">
        <f t="shared" si="85"/>
        <v>338100</v>
      </c>
      <c r="F131" s="97"/>
      <c r="G131" s="99"/>
      <c r="H131" s="101">
        <v>50032</v>
      </c>
      <c r="I131" s="97"/>
      <c r="J131" s="100">
        <v>88500</v>
      </c>
      <c r="K131" s="64"/>
      <c r="L131" s="97"/>
      <c r="M131" s="99"/>
      <c r="N131" s="64"/>
      <c r="O131" s="97"/>
      <c r="P131" s="99"/>
      <c r="Q131" s="64"/>
      <c r="R131" s="97">
        <f t="shared" si="86"/>
        <v>138532</v>
      </c>
      <c r="S131" s="103">
        <f>+E131-R131</f>
        <v>199568</v>
      </c>
      <c r="T131" s="11"/>
      <c r="U131" s="102"/>
      <c r="V131" s="11"/>
      <c r="W131" s="11"/>
      <c r="X131" s="11"/>
      <c r="Y131" s="11"/>
      <c r="Z131" s="11"/>
    </row>
    <row r="132" spans="1:26" ht="15.75" customHeight="1" x14ac:dyDescent="0.25">
      <c r="A132" s="12" t="s">
        <v>391</v>
      </c>
      <c r="B132" s="66" t="s">
        <v>392</v>
      </c>
      <c r="C132" s="38"/>
      <c r="D132" s="55">
        <f>+D133</f>
        <v>210000</v>
      </c>
      <c r="E132" s="55">
        <f>+E133</f>
        <v>210000</v>
      </c>
      <c r="F132" s="38">
        <f t="shared" ref="F132:Q136" si="87">F133</f>
        <v>0</v>
      </c>
      <c r="G132" s="38">
        <f t="shared" si="87"/>
        <v>0</v>
      </c>
      <c r="H132" s="38">
        <f t="shared" si="87"/>
        <v>0</v>
      </c>
      <c r="I132" s="38">
        <f t="shared" si="87"/>
        <v>0</v>
      </c>
      <c r="J132" s="55">
        <f t="shared" si="87"/>
        <v>87672.82</v>
      </c>
      <c r="K132" s="55">
        <f t="shared" si="87"/>
        <v>0</v>
      </c>
      <c r="L132" s="55">
        <f t="shared" si="87"/>
        <v>0</v>
      </c>
      <c r="M132" s="55">
        <f t="shared" si="87"/>
        <v>89366.3</v>
      </c>
      <c r="N132" s="55">
        <f t="shared" si="87"/>
        <v>0</v>
      </c>
      <c r="O132" s="55">
        <f t="shared" si="87"/>
        <v>0</v>
      </c>
      <c r="P132" s="55">
        <f>P133</f>
        <v>0</v>
      </c>
      <c r="Q132" s="55">
        <f t="shared" si="87"/>
        <v>0</v>
      </c>
      <c r="R132" s="55">
        <f t="shared" si="86"/>
        <v>177039.12</v>
      </c>
      <c r="S132" s="56">
        <f>E132-R132</f>
        <v>32960.880000000005</v>
      </c>
      <c r="T132" s="11"/>
      <c r="U132" s="102"/>
      <c r="V132" s="11"/>
      <c r="W132" s="11"/>
      <c r="X132" s="11"/>
      <c r="Y132" s="11"/>
      <c r="Z132" s="11"/>
    </row>
    <row r="133" spans="1:26" ht="16.5" customHeight="1" x14ac:dyDescent="0.25">
      <c r="A133" s="17" t="s">
        <v>393</v>
      </c>
      <c r="B133" s="64" t="s">
        <v>394</v>
      </c>
      <c r="C133" s="97"/>
      <c r="D133" s="100">
        <v>210000</v>
      </c>
      <c r="E133" s="98">
        <f>+C133+D133</f>
        <v>210000</v>
      </c>
      <c r="F133" s="97"/>
      <c r="G133" s="99"/>
      <c r="H133" s="64"/>
      <c r="I133" s="97"/>
      <c r="J133" s="100">
        <v>87672.82</v>
      </c>
      <c r="K133" s="64"/>
      <c r="L133" s="97"/>
      <c r="M133" s="100">
        <v>89366.3</v>
      </c>
      <c r="N133" s="64"/>
      <c r="O133" s="97"/>
      <c r="P133" s="99"/>
      <c r="Q133" s="101"/>
      <c r="R133" s="97">
        <f t="shared" si="86"/>
        <v>177039.12</v>
      </c>
      <c r="S133" s="103">
        <f t="shared" ref="S133:S137" si="88">E133-R133</f>
        <v>32960.880000000005</v>
      </c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2" t="s">
        <v>231</v>
      </c>
      <c r="B134" s="66" t="s">
        <v>395</v>
      </c>
      <c r="C134" s="38"/>
      <c r="D134" s="55">
        <f>+D135</f>
        <v>2610000</v>
      </c>
      <c r="E134" s="55">
        <f>+E135</f>
        <v>2610000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>
        <f t="shared" si="86"/>
        <v>0</v>
      </c>
      <c r="S134" s="56">
        <f t="shared" si="88"/>
        <v>2610000</v>
      </c>
      <c r="T134" s="11"/>
      <c r="U134" s="102"/>
      <c r="V134" s="11"/>
      <c r="W134" s="11"/>
      <c r="X134" s="11"/>
      <c r="Y134" s="11"/>
      <c r="Z134" s="11"/>
    </row>
    <row r="135" spans="1:26" ht="16.5" customHeight="1" x14ac:dyDescent="0.25">
      <c r="A135" s="17" t="s">
        <v>232</v>
      </c>
      <c r="B135" s="64" t="s">
        <v>396</v>
      </c>
      <c r="C135" s="97"/>
      <c r="D135" s="100">
        <v>2610000</v>
      </c>
      <c r="E135" s="98">
        <f>+C135+D135</f>
        <v>2610000</v>
      </c>
      <c r="F135" s="97"/>
      <c r="G135" s="99"/>
      <c r="H135" s="64"/>
      <c r="I135" s="97"/>
      <c r="J135" s="99"/>
      <c r="K135" s="64"/>
      <c r="L135" s="97"/>
      <c r="M135" s="99"/>
      <c r="N135" s="64"/>
      <c r="O135" s="97"/>
      <c r="P135" s="99"/>
      <c r="Q135" s="101"/>
      <c r="R135" s="97">
        <f t="shared" si="86"/>
        <v>0</v>
      </c>
      <c r="S135" s="103">
        <f t="shared" si="88"/>
        <v>2610000</v>
      </c>
      <c r="T135" s="11"/>
      <c r="U135" s="11"/>
      <c r="V135" s="11"/>
      <c r="W135" s="11"/>
      <c r="X135" s="11"/>
      <c r="Y135" s="11"/>
      <c r="Z135" s="11"/>
    </row>
    <row r="136" spans="1:26" ht="15" x14ac:dyDescent="0.25">
      <c r="A136" s="12" t="s">
        <v>234</v>
      </c>
      <c r="B136" s="66" t="s">
        <v>235</v>
      </c>
      <c r="C136" s="55">
        <f>+C137</f>
        <v>1561006</v>
      </c>
      <c r="D136" s="55">
        <f>+D137</f>
        <v>0</v>
      </c>
      <c r="E136" s="55">
        <f>+E137</f>
        <v>1561006</v>
      </c>
      <c r="F136" s="38">
        <f t="shared" si="87"/>
        <v>0</v>
      </c>
      <c r="G136" s="38">
        <f t="shared" si="87"/>
        <v>0</v>
      </c>
      <c r="H136" s="38">
        <f t="shared" si="87"/>
        <v>0</v>
      </c>
      <c r="I136" s="38">
        <f t="shared" si="87"/>
        <v>0</v>
      </c>
      <c r="J136" s="38">
        <f t="shared" si="87"/>
        <v>0</v>
      </c>
      <c r="K136" s="55">
        <f t="shared" si="87"/>
        <v>1409395.23</v>
      </c>
      <c r="L136" s="55">
        <f t="shared" si="87"/>
        <v>0</v>
      </c>
      <c r="M136" s="55">
        <f t="shared" si="87"/>
        <v>0</v>
      </c>
      <c r="N136" s="55">
        <f t="shared" si="87"/>
        <v>0</v>
      </c>
      <c r="O136" s="55">
        <f t="shared" si="87"/>
        <v>0</v>
      </c>
      <c r="P136" s="55">
        <f>P137</f>
        <v>0</v>
      </c>
      <c r="Q136" s="55">
        <f t="shared" si="87"/>
        <v>0</v>
      </c>
      <c r="R136" s="55">
        <f t="shared" si="86"/>
        <v>1409395.23</v>
      </c>
      <c r="S136" s="56">
        <f t="shared" si="88"/>
        <v>151610.77000000002</v>
      </c>
      <c r="T136" s="11"/>
      <c r="U136" s="102"/>
      <c r="V136" s="11"/>
      <c r="W136" s="11"/>
      <c r="X136" s="11"/>
      <c r="Y136" s="11"/>
      <c r="Z136" s="11"/>
    </row>
    <row r="137" spans="1:26" thickBot="1" x14ac:dyDescent="0.3">
      <c r="A137" s="361" t="s">
        <v>236</v>
      </c>
      <c r="B137" s="320" t="s">
        <v>235</v>
      </c>
      <c r="C137" s="362">
        <v>1561006</v>
      </c>
      <c r="D137" s="363">
        <v>0</v>
      </c>
      <c r="E137" s="364">
        <f>C137+D137</f>
        <v>1561006</v>
      </c>
      <c r="F137" s="362"/>
      <c r="G137" s="365"/>
      <c r="H137" s="320"/>
      <c r="I137" s="362"/>
      <c r="J137" s="365"/>
      <c r="K137" s="366">
        <v>1409395.23</v>
      </c>
      <c r="L137" s="362"/>
      <c r="M137" s="365"/>
      <c r="N137" s="320"/>
      <c r="O137" s="362"/>
      <c r="P137" s="365"/>
      <c r="Q137" s="320"/>
      <c r="R137" s="362">
        <f t="shared" si="86"/>
        <v>1409395.23</v>
      </c>
      <c r="S137" s="367">
        <f t="shared" si="88"/>
        <v>151610.77000000002</v>
      </c>
      <c r="T137" s="11"/>
      <c r="U137" s="11"/>
      <c r="V137" s="11"/>
      <c r="W137" s="11"/>
      <c r="X137" s="11"/>
      <c r="Y137" s="11"/>
      <c r="Z137" s="11"/>
    </row>
    <row r="138" spans="1:26" ht="20.25" customHeight="1" thickBot="1" x14ac:dyDescent="0.3">
      <c r="A138" s="426" t="s">
        <v>237</v>
      </c>
      <c r="B138" s="427"/>
      <c r="C138" s="368">
        <f t="shared" ref="C138:S138" si="89">C67+C25+C7+C109+C106</f>
        <v>118925000</v>
      </c>
      <c r="D138" s="368">
        <f t="shared" si="89"/>
        <v>25593786.02</v>
      </c>
      <c r="E138" s="368">
        <f t="shared" si="89"/>
        <v>144518786.01999998</v>
      </c>
      <c r="F138" s="368">
        <f t="shared" si="89"/>
        <v>6738653.7300000004</v>
      </c>
      <c r="G138" s="368">
        <f t="shared" si="89"/>
        <v>6305057.4199999999</v>
      </c>
      <c r="H138" s="368">
        <f t="shared" si="89"/>
        <v>10976739.67</v>
      </c>
      <c r="I138" s="368">
        <f t="shared" si="89"/>
        <v>12184270.49</v>
      </c>
      <c r="J138" s="368">
        <f t="shared" si="89"/>
        <v>10754908.310000001</v>
      </c>
      <c r="K138" s="368">
        <f t="shared" si="89"/>
        <v>12032102.460000001</v>
      </c>
      <c r="L138" s="368">
        <f t="shared" si="89"/>
        <v>9750887.3999999985</v>
      </c>
      <c r="M138" s="368">
        <f t="shared" si="89"/>
        <v>9766500.6199999992</v>
      </c>
      <c r="N138" s="368">
        <f t="shared" si="89"/>
        <v>0</v>
      </c>
      <c r="O138" s="368">
        <f t="shared" si="89"/>
        <v>0</v>
      </c>
      <c r="P138" s="368">
        <f t="shared" si="89"/>
        <v>0</v>
      </c>
      <c r="Q138" s="368">
        <f t="shared" si="89"/>
        <v>0</v>
      </c>
      <c r="R138" s="368">
        <f t="shared" si="89"/>
        <v>78509120.100000009</v>
      </c>
      <c r="S138" s="369">
        <f t="shared" si="89"/>
        <v>66009665.920000002</v>
      </c>
      <c r="T138" s="11"/>
      <c r="U138" s="102"/>
      <c r="V138" s="11"/>
      <c r="W138" s="11"/>
      <c r="X138" s="11"/>
      <c r="Y138" s="11"/>
      <c r="Z138" s="11"/>
    </row>
    <row r="139" spans="1:26" ht="17.25" customHeight="1" x14ac:dyDescent="0.25">
      <c r="A139" s="355">
        <v>2.1</v>
      </c>
      <c r="B139" s="356" t="str">
        <f t="shared" ref="B139:Q139" si="90">+B7</f>
        <v xml:space="preserve">Remuneraciones y contribuciones </v>
      </c>
      <c r="C139" s="357">
        <f t="shared" si="90"/>
        <v>84544409</v>
      </c>
      <c r="D139" s="357">
        <f t="shared" si="90"/>
        <v>5474148</v>
      </c>
      <c r="E139" s="357">
        <f t="shared" si="90"/>
        <v>90018557</v>
      </c>
      <c r="F139" s="358">
        <f t="shared" si="90"/>
        <v>6050057.46</v>
      </c>
      <c r="G139" s="358">
        <f t="shared" si="90"/>
        <v>6040644.4100000001</v>
      </c>
      <c r="H139" s="358">
        <f t="shared" si="90"/>
        <v>6460148.3900000006</v>
      </c>
      <c r="I139" s="358">
        <f t="shared" si="90"/>
        <v>6313770.3799999999</v>
      </c>
      <c r="J139" s="358">
        <f t="shared" si="90"/>
        <v>8252491.4000000004</v>
      </c>
      <c r="K139" s="358">
        <f t="shared" si="90"/>
        <v>6151934.29</v>
      </c>
      <c r="L139" s="358">
        <f t="shared" si="90"/>
        <v>6419491.04</v>
      </c>
      <c r="M139" s="358">
        <f t="shared" si="90"/>
        <v>6114953.4900000002</v>
      </c>
      <c r="N139" s="358">
        <f t="shared" si="90"/>
        <v>0</v>
      </c>
      <c r="O139" s="358">
        <f t="shared" si="90"/>
        <v>0</v>
      </c>
      <c r="P139" s="358">
        <f t="shared" si="90"/>
        <v>0</v>
      </c>
      <c r="Q139" s="358">
        <f t="shared" si="90"/>
        <v>0</v>
      </c>
      <c r="R139" s="358">
        <f>SUM(F139:Q139)</f>
        <v>51803490.859999999</v>
      </c>
      <c r="S139" s="359">
        <f>E139-R139</f>
        <v>38215066.140000001</v>
      </c>
    </row>
    <row r="140" spans="1:26" ht="18" customHeight="1" x14ac:dyDescent="0.25">
      <c r="A140" s="107">
        <v>2.2000000000000002</v>
      </c>
      <c r="B140" s="108" t="str">
        <f t="shared" ref="B140:Q140" si="91">+B25</f>
        <v>Contratación de Servicios</v>
      </c>
      <c r="C140" s="91">
        <f t="shared" si="91"/>
        <v>16848494</v>
      </c>
      <c r="D140" s="109">
        <f t="shared" si="91"/>
        <v>10229326</v>
      </c>
      <c r="E140" s="91">
        <f t="shared" si="91"/>
        <v>27077820</v>
      </c>
      <c r="F140" s="91">
        <f t="shared" si="91"/>
        <v>688596.27</v>
      </c>
      <c r="G140" s="91">
        <f t="shared" si="91"/>
        <v>264413.01</v>
      </c>
      <c r="H140" s="91">
        <f t="shared" si="91"/>
        <v>3791949.6999999997</v>
      </c>
      <c r="I140" s="91">
        <f t="shared" si="91"/>
        <v>424917.07</v>
      </c>
      <c r="J140" s="91">
        <f t="shared" si="91"/>
        <v>1715554.32</v>
      </c>
      <c r="K140" s="91">
        <f t="shared" si="91"/>
        <v>1994089.94</v>
      </c>
      <c r="L140" s="91">
        <f t="shared" si="91"/>
        <v>985892.17999999993</v>
      </c>
      <c r="M140" s="91">
        <f t="shared" si="91"/>
        <v>1460653.94</v>
      </c>
      <c r="N140" s="91">
        <f t="shared" si="91"/>
        <v>0</v>
      </c>
      <c r="O140" s="91">
        <f t="shared" si="91"/>
        <v>0</v>
      </c>
      <c r="P140" s="91">
        <f t="shared" si="91"/>
        <v>0</v>
      </c>
      <c r="Q140" s="91">
        <f t="shared" si="91"/>
        <v>0</v>
      </c>
      <c r="R140" s="91">
        <f>SUM(F140:Q140)</f>
        <v>11326066.43</v>
      </c>
      <c r="S140" s="57">
        <f>E140-R140</f>
        <v>15751753.57</v>
      </c>
    </row>
    <row r="141" spans="1:26" ht="14.25" customHeight="1" x14ac:dyDescent="0.25">
      <c r="A141" s="107">
        <v>2.2999999999999998</v>
      </c>
      <c r="B141" s="108" t="s">
        <v>127</v>
      </c>
      <c r="C141" s="91">
        <f t="shared" ref="C141:Q141" si="92">+C67</f>
        <v>11956457</v>
      </c>
      <c r="D141" s="109">
        <f t="shared" si="92"/>
        <v>6175312.0199999996</v>
      </c>
      <c r="E141" s="91">
        <f t="shared" si="92"/>
        <v>18131769.02</v>
      </c>
      <c r="F141" s="91">
        <f t="shared" si="92"/>
        <v>0</v>
      </c>
      <c r="G141" s="91">
        <f t="shared" si="92"/>
        <v>0</v>
      </c>
      <c r="H141" s="91">
        <f t="shared" si="92"/>
        <v>288714.18000000005</v>
      </c>
      <c r="I141" s="91">
        <f t="shared" si="92"/>
        <v>5425582.04</v>
      </c>
      <c r="J141" s="91">
        <f t="shared" si="92"/>
        <v>572287.77999999991</v>
      </c>
      <c r="K141" s="91">
        <f t="shared" si="92"/>
        <v>1576455.91</v>
      </c>
      <c r="L141" s="91">
        <f t="shared" si="92"/>
        <v>1397073.3900000001</v>
      </c>
      <c r="M141" s="91">
        <f t="shared" si="92"/>
        <v>1418046.1099999999</v>
      </c>
      <c r="N141" s="91">
        <f t="shared" si="92"/>
        <v>0</v>
      </c>
      <c r="O141" s="91">
        <f t="shared" si="92"/>
        <v>0</v>
      </c>
      <c r="P141" s="91">
        <f t="shared" si="92"/>
        <v>0</v>
      </c>
      <c r="Q141" s="91">
        <f t="shared" si="92"/>
        <v>0</v>
      </c>
      <c r="R141" s="91">
        <f>SUM(F141:Q141)</f>
        <v>10678159.41</v>
      </c>
      <c r="S141" s="57">
        <f>E141-R141</f>
        <v>7453609.6099999994</v>
      </c>
    </row>
    <row r="142" spans="1:26" ht="14.25" customHeight="1" x14ac:dyDescent="0.25">
      <c r="A142" s="107">
        <v>2.4</v>
      </c>
      <c r="B142" s="108" t="s">
        <v>200</v>
      </c>
      <c r="C142" s="91">
        <v>0</v>
      </c>
      <c r="D142" s="91">
        <f>+D108</f>
        <v>0</v>
      </c>
      <c r="E142" s="91">
        <f>+E108</f>
        <v>0</v>
      </c>
      <c r="F142" s="91">
        <f t="shared" ref="F142:Q142" si="93">+F108</f>
        <v>0</v>
      </c>
      <c r="G142" s="91">
        <f t="shared" si="93"/>
        <v>0</v>
      </c>
      <c r="H142" s="91">
        <f t="shared" si="93"/>
        <v>0</v>
      </c>
      <c r="I142" s="91">
        <f t="shared" si="93"/>
        <v>0</v>
      </c>
      <c r="J142" s="91">
        <f t="shared" si="93"/>
        <v>0</v>
      </c>
      <c r="K142" s="91">
        <f t="shared" si="93"/>
        <v>0</v>
      </c>
      <c r="L142" s="91">
        <f t="shared" si="93"/>
        <v>0</v>
      </c>
      <c r="M142" s="91">
        <f t="shared" si="93"/>
        <v>0</v>
      </c>
      <c r="N142" s="91">
        <f t="shared" si="93"/>
        <v>0</v>
      </c>
      <c r="O142" s="91">
        <f t="shared" si="93"/>
        <v>0</v>
      </c>
      <c r="P142" s="91">
        <f t="shared" si="93"/>
        <v>0</v>
      </c>
      <c r="Q142" s="91">
        <f t="shared" si="93"/>
        <v>0</v>
      </c>
      <c r="R142" s="91">
        <f>SUM(F142:Q142)</f>
        <v>0</v>
      </c>
      <c r="S142" s="57">
        <f>E142-R142</f>
        <v>0</v>
      </c>
    </row>
    <row r="143" spans="1:26" ht="17.25" customHeight="1" thickBot="1" x14ac:dyDescent="0.3">
      <c r="A143" s="110">
        <v>2.6</v>
      </c>
      <c r="B143" s="111" t="s">
        <v>205</v>
      </c>
      <c r="C143" s="112">
        <f t="shared" ref="C143:Q143" si="94">C109</f>
        <v>5575640</v>
      </c>
      <c r="D143" s="360">
        <f t="shared" si="94"/>
        <v>3715000</v>
      </c>
      <c r="E143" s="112">
        <f t="shared" si="94"/>
        <v>9290640</v>
      </c>
      <c r="F143" s="112">
        <f t="shared" si="94"/>
        <v>0</v>
      </c>
      <c r="G143" s="112">
        <f t="shared" si="94"/>
        <v>0</v>
      </c>
      <c r="H143" s="112">
        <f t="shared" si="94"/>
        <v>435927.4</v>
      </c>
      <c r="I143" s="112">
        <f t="shared" si="94"/>
        <v>20001</v>
      </c>
      <c r="J143" s="112">
        <f t="shared" si="94"/>
        <v>214574.81</v>
      </c>
      <c r="K143" s="112">
        <f t="shared" si="94"/>
        <v>2309622.3200000003</v>
      </c>
      <c r="L143" s="112">
        <f t="shared" si="94"/>
        <v>948430.79</v>
      </c>
      <c r="M143" s="112">
        <f t="shared" si="94"/>
        <v>772847.08000000007</v>
      </c>
      <c r="N143" s="112">
        <f t="shared" si="94"/>
        <v>0</v>
      </c>
      <c r="O143" s="112">
        <f t="shared" si="94"/>
        <v>0</v>
      </c>
      <c r="P143" s="112">
        <f t="shared" si="94"/>
        <v>0</v>
      </c>
      <c r="Q143" s="112">
        <f t="shared" si="94"/>
        <v>0</v>
      </c>
      <c r="R143" s="113">
        <f>SUM(F143:Q143)</f>
        <v>4701403.4000000004</v>
      </c>
      <c r="S143" s="114">
        <f>E143-R143</f>
        <v>4589236.5999999996</v>
      </c>
    </row>
    <row r="144" spans="1:26" ht="17.25" customHeight="1" x14ac:dyDescent="0.25">
      <c r="A144" s="115" t="s">
        <v>238</v>
      </c>
      <c r="B144" s="116"/>
      <c r="C144" s="117"/>
      <c r="D144" s="117"/>
      <c r="E144" s="117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06"/>
      <c r="S144" s="118"/>
    </row>
    <row r="145" spans="1:19" ht="13.5" customHeight="1" x14ac:dyDescent="0.25">
      <c r="A145" s="119" t="s">
        <v>239</v>
      </c>
      <c r="B145" s="80"/>
      <c r="C145" s="120"/>
      <c r="D145" s="80"/>
      <c r="E145" s="80"/>
      <c r="F145" s="80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</row>
    <row r="146" spans="1:19" ht="13.5" customHeight="1" x14ac:dyDescent="0.25">
      <c r="A146" s="121"/>
      <c r="C146" s="120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</row>
    <row r="147" spans="1:19" ht="13.5" customHeight="1" x14ac:dyDescent="0.25">
      <c r="A147" s="121"/>
      <c r="C147" s="120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</row>
    <row r="148" spans="1:19" ht="13.5" customHeight="1" x14ac:dyDescent="0.25">
      <c r="A148" s="121"/>
      <c r="C148" s="120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</row>
    <row r="149" spans="1:19" ht="13.5" customHeight="1" x14ac:dyDescent="0.25">
      <c r="A149" s="121"/>
      <c r="C149" s="120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</row>
    <row r="150" spans="1:19" ht="27.75" customHeight="1" x14ac:dyDescent="0.25"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</row>
    <row r="151" spans="1:19" ht="21" customHeight="1" x14ac:dyDescent="0.25">
      <c r="B151" s="370" t="s">
        <v>240</v>
      </c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</row>
    <row r="152" spans="1:19" ht="21" customHeight="1" x14ac:dyDescent="0.25">
      <c r="B152" s="371" t="s">
        <v>241</v>
      </c>
      <c r="F152" s="123"/>
      <c r="G152" s="118"/>
    </row>
    <row r="154" spans="1:19" ht="15.75" customHeight="1" x14ac:dyDescent="0.25">
      <c r="A154" s="124"/>
      <c r="B154" s="125"/>
    </row>
    <row r="155" spans="1:19" ht="15.75" customHeight="1" x14ac:dyDescent="0.25">
      <c r="F155" s="118"/>
    </row>
    <row r="156" spans="1:19" ht="15.75" customHeight="1" x14ac:dyDescent="0.25">
      <c r="B156" s="4"/>
    </row>
    <row r="157" spans="1:19" ht="15.75" customHeight="1" x14ac:dyDescent="0.25">
      <c r="B157" s="118"/>
    </row>
    <row r="158" spans="1:19" ht="15.75" customHeight="1" x14ac:dyDescent="0.25">
      <c r="B158" s="118"/>
    </row>
    <row r="159" spans="1:19" ht="15.75" customHeight="1" x14ac:dyDescent="0.25">
      <c r="B159" s="118"/>
    </row>
    <row r="160" spans="1:19" ht="15.75" customHeight="1" x14ac:dyDescent="0.25">
      <c r="B160" s="118"/>
    </row>
    <row r="161" spans="1:2" ht="15.75" customHeight="1" x14ac:dyDescent="0.25">
      <c r="B161" s="4"/>
    </row>
    <row r="162" spans="1:2" ht="15.75" customHeight="1" x14ac:dyDescent="0.25">
      <c r="B162" s="118"/>
    </row>
    <row r="166" spans="1:2" ht="15.75" customHeight="1" x14ac:dyDescent="0.25">
      <c r="A166" s="126"/>
    </row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</sheetData>
  <mergeCells count="6">
    <mergeCell ref="A138:B138"/>
    <mergeCell ref="A1:Q1"/>
    <mergeCell ref="A2:S2"/>
    <mergeCell ref="A3:S3"/>
    <mergeCell ref="A4:S4"/>
    <mergeCell ref="A5:B5"/>
  </mergeCells>
  <printOptions horizontalCentered="1" verticalCentered="1"/>
  <pageMargins left="0" right="0" top="0" bottom="0.25" header="0" footer="0.25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7D23-4117-464F-A71A-6DE8411213EE}">
  <dimension ref="A1:Z1025"/>
  <sheetViews>
    <sheetView showGridLines="0" zoomScale="96" zoomScaleNormal="96" workbookViewId="0">
      <selection activeCell="L117" sqref="L117"/>
    </sheetView>
  </sheetViews>
  <sheetFormatPr baseColWidth="10" defaultColWidth="14.42578125" defaultRowHeight="15.75" customHeight="1" x14ac:dyDescent="0.2"/>
  <cols>
    <col min="1" max="1" width="10.7109375" style="122" customWidth="1"/>
    <col min="2" max="2" width="38.28515625" customWidth="1"/>
    <col min="3" max="3" width="15.140625" customWidth="1"/>
    <col min="4" max="4" width="13.140625" customWidth="1"/>
    <col min="5" max="5" width="15.42578125" customWidth="1"/>
    <col min="6" max="6" width="14.42578125" bestFit="1" customWidth="1"/>
    <col min="7" max="7" width="13.85546875" customWidth="1"/>
    <col min="8" max="12" width="14.140625" customWidth="1"/>
    <col min="13" max="13" width="15.140625" customWidth="1"/>
    <col min="14" max="15" width="14.85546875" hidden="1" customWidth="1"/>
    <col min="16" max="16" width="5.28515625" hidden="1" customWidth="1"/>
    <col min="17" max="17" width="15.42578125" hidden="1" customWidth="1"/>
    <col min="18" max="18" width="14.85546875" customWidth="1"/>
    <col min="19" max="19" width="15.140625" customWidth="1"/>
    <col min="20" max="20" width="10.7109375" customWidth="1"/>
  </cols>
  <sheetData>
    <row r="1" spans="1:20" ht="15" customHeight="1" x14ac:dyDescent="0.35">
      <c r="A1" s="428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1" t="s">
        <v>430</v>
      </c>
    </row>
    <row r="2" spans="1:20" ht="23.25" customHeight="1" x14ac:dyDescent="0.35">
      <c r="A2" s="430" t="s">
        <v>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20" ht="24" customHeight="1" x14ac:dyDescent="0.35">
      <c r="A3" s="432" t="s">
        <v>357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</row>
    <row r="4" spans="1:20" ht="24" customHeight="1" x14ac:dyDescent="0.35">
      <c r="A4" s="432" t="s">
        <v>1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</row>
    <row r="5" spans="1:20" ht="20.25" customHeight="1" thickBot="1" x14ac:dyDescent="0.25">
      <c r="A5" s="435" t="s">
        <v>242</v>
      </c>
      <c r="B5" s="436"/>
    </row>
    <row r="6" spans="1:20" ht="60" customHeight="1" thickBot="1" x14ac:dyDescent="0.25">
      <c r="A6" s="127" t="s">
        <v>3</v>
      </c>
      <c r="B6" s="128" t="s">
        <v>4</v>
      </c>
      <c r="C6" s="129" t="s">
        <v>359</v>
      </c>
      <c r="D6" s="268" t="s">
        <v>5</v>
      </c>
      <c r="E6" s="129" t="s">
        <v>358</v>
      </c>
      <c r="F6" s="129" t="s">
        <v>6</v>
      </c>
      <c r="G6" s="129" t="s">
        <v>7</v>
      </c>
      <c r="H6" s="129" t="s">
        <v>8</v>
      </c>
      <c r="I6" s="129" t="s">
        <v>9</v>
      </c>
      <c r="J6" s="129" t="s">
        <v>10</v>
      </c>
      <c r="K6" s="129" t="s">
        <v>11</v>
      </c>
      <c r="L6" s="129" t="s">
        <v>12</v>
      </c>
      <c r="M6" s="129" t="s">
        <v>13</v>
      </c>
      <c r="N6" s="129" t="s">
        <v>14</v>
      </c>
      <c r="O6" s="129" t="s">
        <v>15</v>
      </c>
      <c r="P6" s="129" t="s">
        <v>16</v>
      </c>
      <c r="Q6" s="129" t="s">
        <v>17</v>
      </c>
      <c r="R6" s="129" t="s">
        <v>18</v>
      </c>
      <c r="S6" s="130" t="s">
        <v>360</v>
      </c>
    </row>
    <row r="7" spans="1:20" ht="19.5" customHeight="1" x14ac:dyDescent="0.25">
      <c r="A7" s="131">
        <v>2.1</v>
      </c>
      <c r="B7" s="132" t="s">
        <v>243</v>
      </c>
      <c r="C7" s="376">
        <f>C8+C17+C22</f>
        <v>93031720</v>
      </c>
      <c r="D7" s="376">
        <f>D8+D17+D22</f>
        <v>40000</v>
      </c>
      <c r="E7" s="376">
        <f>E8+E17+E22</f>
        <v>93071720</v>
      </c>
      <c r="F7" s="133">
        <f t="shared" ref="F7:Q7" si="0">+F8+F17+F22</f>
        <v>5302999.21</v>
      </c>
      <c r="G7" s="133">
        <f t="shared" si="0"/>
        <v>5300869.16</v>
      </c>
      <c r="H7" s="133">
        <f t="shared" si="0"/>
        <v>5410665.3099999996</v>
      </c>
      <c r="I7" s="133">
        <f t="shared" si="0"/>
        <v>5534309.4399999995</v>
      </c>
      <c r="J7" s="133">
        <f t="shared" si="0"/>
        <v>11997782.880000001</v>
      </c>
      <c r="K7" s="133">
        <f t="shared" si="0"/>
        <v>5509747.04</v>
      </c>
      <c r="L7" s="133">
        <f t="shared" si="0"/>
        <v>5546276.04</v>
      </c>
      <c r="M7" s="133">
        <f t="shared" si="0"/>
        <v>5603921.04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0</v>
      </c>
      <c r="R7" s="376">
        <f>R8+R17+R22</f>
        <v>50206570.119999997</v>
      </c>
      <c r="S7" s="377">
        <f>S8+S17+S22</f>
        <v>42865149.880000003</v>
      </c>
      <c r="T7" s="11"/>
    </row>
    <row r="8" spans="1:20" ht="24.75" customHeight="1" x14ac:dyDescent="0.25">
      <c r="A8" s="12" t="s">
        <v>20</v>
      </c>
      <c r="B8" s="13" t="s">
        <v>244</v>
      </c>
      <c r="C8" s="73">
        <f t="shared" ref="C8:S8" si="1">SUM(C9:C16)</f>
        <v>58550000</v>
      </c>
      <c r="D8" s="43">
        <f t="shared" si="1"/>
        <v>0</v>
      </c>
      <c r="E8" s="73">
        <f>SUM(E9:E16)</f>
        <v>58550000</v>
      </c>
      <c r="F8" s="73">
        <f t="shared" si="1"/>
        <v>4132500</v>
      </c>
      <c r="G8" s="73">
        <f t="shared" si="1"/>
        <v>4148000</v>
      </c>
      <c r="H8" s="73">
        <f t="shared" si="1"/>
        <v>4241500</v>
      </c>
      <c r="I8" s="73">
        <f t="shared" si="1"/>
        <v>4348000</v>
      </c>
      <c r="J8" s="73">
        <f t="shared" si="1"/>
        <v>4293000</v>
      </c>
      <c r="K8" s="73">
        <f t="shared" si="1"/>
        <v>4292000</v>
      </c>
      <c r="L8" s="73">
        <f t="shared" si="1"/>
        <v>4302000</v>
      </c>
      <c r="M8" s="73">
        <f t="shared" si="1"/>
        <v>4352000</v>
      </c>
      <c r="N8" s="73">
        <f t="shared" si="1"/>
        <v>0</v>
      </c>
      <c r="O8" s="73">
        <f t="shared" si="1"/>
        <v>0</v>
      </c>
      <c r="P8" s="73">
        <f t="shared" si="1"/>
        <v>0</v>
      </c>
      <c r="Q8" s="73">
        <f t="shared" si="1"/>
        <v>0</v>
      </c>
      <c r="R8" s="73">
        <f t="shared" si="1"/>
        <v>34109000</v>
      </c>
      <c r="S8" s="140">
        <f t="shared" si="1"/>
        <v>24441000</v>
      </c>
      <c r="T8" s="16"/>
    </row>
    <row r="9" spans="1:20" ht="18" customHeight="1" x14ac:dyDescent="0.25">
      <c r="A9" s="17" t="s">
        <v>22</v>
      </c>
      <c r="B9" s="18" t="s">
        <v>23</v>
      </c>
      <c r="C9" s="134">
        <v>22000000</v>
      </c>
      <c r="D9" s="20">
        <v>-80000</v>
      </c>
      <c r="E9" s="21">
        <f>C9+D9</f>
        <v>21920000</v>
      </c>
      <c r="F9" s="27">
        <v>1622500</v>
      </c>
      <c r="G9" s="27">
        <v>1615000</v>
      </c>
      <c r="H9" s="27">
        <v>1708500</v>
      </c>
      <c r="I9" s="27">
        <v>1760000</v>
      </c>
      <c r="J9" s="27">
        <v>1790000</v>
      </c>
      <c r="K9" s="27">
        <v>1749000</v>
      </c>
      <c r="L9" s="27">
        <v>1759000</v>
      </c>
      <c r="M9" s="27">
        <v>1809000</v>
      </c>
      <c r="N9" s="27"/>
      <c r="O9" s="27"/>
      <c r="P9" s="27"/>
      <c r="Q9" s="27"/>
      <c r="R9" s="27">
        <f>SUM(F9:Q9)</f>
        <v>13813000</v>
      </c>
      <c r="S9" s="57">
        <f t="shared" ref="S9:S14" si="2">E9-R9</f>
        <v>8107000</v>
      </c>
      <c r="T9" s="11"/>
    </row>
    <row r="10" spans="1:20" ht="18" customHeight="1" x14ac:dyDescent="0.25">
      <c r="A10" s="17" t="s">
        <v>245</v>
      </c>
      <c r="B10" s="18" t="s">
        <v>246</v>
      </c>
      <c r="C10" s="134">
        <v>50000</v>
      </c>
      <c r="D10" s="20"/>
      <c r="E10" s="21">
        <f t="shared" ref="E10:E16" si="3">C10+D10</f>
        <v>50000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ref="R10:R16" si="4">SUM(F10:Q10)</f>
        <v>0</v>
      </c>
      <c r="S10" s="57">
        <f t="shared" si="2"/>
        <v>50000</v>
      </c>
      <c r="T10" s="11"/>
    </row>
    <row r="11" spans="1:20" ht="18" customHeight="1" x14ac:dyDescent="0.25">
      <c r="A11" s="17" t="s">
        <v>247</v>
      </c>
      <c r="B11" s="18" t="s">
        <v>248</v>
      </c>
      <c r="C11" s="134">
        <v>31000000</v>
      </c>
      <c r="D11" s="20"/>
      <c r="E11" s="21">
        <f t="shared" si="3"/>
        <v>31000000</v>
      </c>
      <c r="F11" s="27">
        <v>2510000</v>
      </c>
      <c r="G11" s="27">
        <v>2533000</v>
      </c>
      <c r="H11" s="27">
        <v>2533000</v>
      </c>
      <c r="I11" s="27">
        <v>2588000</v>
      </c>
      <c r="J11" s="27">
        <v>2503000</v>
      </c>
      <c r="K11" s="27">
        <v>2533000</v>
      </c>
      <c r="L11" s="27">
        <v>2533000</v>
      </c>
      <c r="M11" s="27">
        <v>2533000</v>
      </c>
      <c r="N11" s="27"/>
      <c r="O11" s="27"/>
      <c r="P11" s="27"/>
      <c r="Q11" s="27"/>
      <c r="R11" s="27">
        <f t="shared" si="4"/>
        <v>20266000</v>
      </c>
      <c r="S11" s="57">
        <f t="shared" si="2"/>
        <v>10734000</v>
      </c>
      <c r="T11" s="11"/>
    </row>
    <row r="12" spans="1:20" ht="18" customHeight="1" x14ac:dyDescent="0.25">
      <c r="A12" s="17" t="s">
        <v>24</v>
      </c>
      <c r="B12" s="18" t="s">
        <v>420</v>
      </c>
      <c r="C12" s="134"/>
      <c r="D12" s="20">
        <v>80000</v>
      </c>
      <c r="E12" s="21">
        <f t="shared" si="3"/>
        <v>80000</v>
      </c>
      <c r="F12" s="27"/>
      <c r="G12" s="27"/>
      <c r="H12" s="27"/>
      <c r="I12" s="27"/>
      <c r="J12" s="27"/>
      <c r="K12" s="27">
        <v>10000</v>
      </c>
      <c r="L12" s="27">
        <v>10000</v>
      </c>
      <c r="M12" s="27">
        <v>10000</v>
      </c>
      <c r="N12" s="27"/>
      <c r="O12" s="27"/>
      <c r="P12" s="27"/>
      <c r="Q12" s="27"/>
      <c r="R12" s="27">
        <f t="shared" si="4"/>
        <v>30000</v>
      </c>
      <c r="S12" s="57">
        <f t="shared" si="2"/>
        <v>50000</v>
      </c>
      <c r="T12" s="11"/>
    </row>
    <row r="13" spans="1:20" ht="18" hidden="1" customHeight="1" x14ac:dyDescent="0.25">
      <c r="A13" s="17" t="s">
        <v>249</v>
      </c>
      <c r="B13" s="18" t="s">
        <v>250</v>
      </c>
      <c r="C13" s="134"/>
      <c r="D13" s="20">
        <v>0</v>
      </c>
      <c r="E13" s="21">
        <f t="shared" si="3"/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f t="shared" si="4"/>
        <v>0</v>
      </c>
      <c r="S13" s="57">
        <f t="shared" si="2"/>
        <v>0</v>
      </c>
      <c r="T13" s="11"/>
    </row>
    <row r="14" spans="1:20" ht="18" customHeight="1" x14ac:dyDescent="0.25">
      <c r="A14" s="17" t="s">
        <v>28</v>
      </c>
      <c r="B14" s="18" t="s">
        <v>251</v>
      </c>
      <c r="C14" s="134">
        <v>5200000</v>
      </c>
      <c r="D14" s="27">
        <v>0</v>
      </c>
      <c r="E14" s="21">
        <f t="shared" si="3"/>
        <v>5200000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9"/>
      <c r="Q14" s="19"/>
      <c r="R14" s="27">
        <f t="shared" si="4"/>
        <v>0</v>
      </c>
      <c r="S14" s="36">
        <f t="shared" si="2"/>
        <v>5200000</v>
      </c>
      <c r="T14" s="11"/>
    </row>
    <row r="15" spans="1:20" ht="18" customHeight="1" x14ac:dyDescent="0.25">
      <c r="A15" s="17" t="s">
        <v>30</v>
      </c>
      <c r="B15" s="18" t="s">
        <v>252</v>
      </c>
      <c r="C15" s="134">
        <v>150000</v>
      </c>
      <c r="D15" s="27">
        <v>0</v>
      </c>
      <c r="E15" s="21">
        <f t="shared" si="3"/>
        <v>150000</v>
      </c>
      <c r="F15" s="28"/>
      <c r="G15" s="28"/>
      <c r="H15" s="28"/>
      <c r="I15" s="93"/>
      <c r="J15" s="28"/>
      <c r="K15" s="93"/>
      <c r="L15" s="28"/>
      <c r="M15" s="28"/>
      <c r="N15" s="93"/>
      <c r="O15" s="28"/>
      <c r="P15" s="19"/>
      <c r="Q15" s="19"/>
      <c r="R15" s="27">
        <f t="shared" si="4"/>
        <v>0</v>
      </c>
      <c r="S15" s="36">
        <f t="shared" ref="S15:S16" si="5">E15-R15</f>
        <v>150000</v>
      </c>
      <c r="T15" s="11"/>
    </row>
    <row r="16" spans="1:20" ht="18" customHeight="1" x14ac:dyDescent="0.25">
      <c r="A16" s="17" t="s">
        <v>32</v>
      </c>
      <c r="B16" s="18" t="s">
        <v>33</v>
      </c>
      <c r="C16" s="134">
        <v>150000</v>
      </c>
      <c r="D16" s="27">
        <v>0</v>
      </c>
      <c r="E16" s="21">
        <f t="shared" si="3"/>
        <v>150000</v>
      </c>
      <c r="F16" s="28"/>
      <c r="G16" s="28"/>
      <c r="H16" s="28"/>
      <c r="I16" s="93"/>
      <c r="J16" s="93"/>
      <c r="K16" s="28"/>
      <c r="L16" s="28"/>
      <c r="M16" s="28"/>
      <c r="N16" s="93"/>
      <c r="O16" s="28"/>
      <c r="P16" s="19"/>
      <c r="Q16" s="19"/>
      <c r="R16" s="27">
        <f t="shared" si="4"/>
        <v>0</v>
      </c>
      <c r="S16" s="36">
        <f t="shared" si="5"/>
        <v>150000</v>
      </c>
      <c r="T16" s="11"/>
    </row>
    <row r="17" spans="1:20" ht="18" customHeight="1" x14ac:dyDescent="0.25">
      <c r="A17" s="12" t="s">
        <v>34</v>
      </c>
      <c r="B17" s="13" t="s">
        <v>35</v>
      </c>
      <c r="C17" s="73">
        <f>SUM(C18:C21)</f>
        <v>26232000</v>
      </c>
      <c r="D17" s="73">
        <f>SUM(D18:D21)</f>
        <v>40000</v>
      </c>
      <c r="E17" s="73">
        <f>SUM(E18:E21)</f>
        <v>26272000</v>
      </c>
      <c r="F17" s="73">
        <f t="shared" ref="F17:P17" si="6">SUM(F18:F18)</f>
        <v>541000</v>
      </c>
      <c r="G17" s="73">
        <f>SUM(G18:G20)</f>
        <v>521000</v>
      </c>
      <c r="H17" s="73">
        <f t="shared" ref="H17:M17" si="7">SUM(H18:H20)</f>
        <v>523000</v>
      </c>
      <c r="I17" s="73">
        <f t="shared" si="7"/>
        <v>523000</v>
      </c>
      <c r="J17" s="73">
        <f>SUM(J18:J21)</f>
        <v>7049770.8300000001</v>
      </c>
      <c r="K17" s="73">
        <f t="shared" si="7"/>
        <v>563000</v>
      </c>
      <c r="L17" s="73">
        <f t="shared" si="7"/>
        <v>588000</v>
      </c>
      <c r="M17" s="73">
        <f t="shared" si="7"/>
        <v>588000</v>
      </c>
      <c r="N17" s="73">
        <f t="shared" si="6"/>
        <v>0</v>
      </c>
      <c r="O17" s="73">
        <f>SUM(O18:O20)</f>
        <v>0</v>
      </c>
      <c r="P17" s="73">
        <f t="shared" si="6"/>
        <v>0</v>
      </c>
      <c r="Q17" s="73">
        <f>SUM(Q18:Q21)</f>
        <v>0</v>
      </c>
      <c r="R17" s="55">
        <f>SUM(F17:Q17)</f>
        <v>10896770.83</v>
      </c>
      <c r="S17" s="56">
        <f>+S18+S20+S21+S19</f>
        <v>15375229.17</v>
      </c>
      <c r="T17" s="16"/>
    </row>
    <row r="18" spans="1:20" ht="16.5" customHeight="1" x14ac:dyDescent="0.25">
      <c r="A18" s="32" t="s">
        <v>253</v>
      </c>
      <c r="B18" s="33" t="s">
        <v>254</v>
      </c>
      <c r="C18" s="34">
        <v>8232000</v>
      </c>
      <c r="D18" s="19"/>
      <c r="E18" s="34">
        <f>C18+D18</f>
        <v>8232000</v>
      </c>
      <c r="F18" s="34">
        <v>541000</v>
      </c>
      <c r="G18" s="34">
        <v>521000</v>
      </c>
      <c r="H18" s="34">
        <v>523000</v>
      </c>
      <c r="I18" s="34">
        <v>523000</v>
      </c>
      <c r="J18" s="34">
        <v>523000</v>
      </c>
      <c r="K18" s="34">
        <v>563000</v>
      </c>
      <c r="L18" s="34">
        <v>588000</v>
      </c>
      <c r="M18" s="34">
        <v>588000</v>
      </c>
      <c r="N18" s="34"/>
      <c r="O18" s="34"/>
      <c r="P18" s="34"/>
      <c r="Q18" s="34"/>
      <c r="R18" s="27">
        <f>SUM(F18:Q18)</f>
        <v>4370000</v>
      </c>
      <c r="S18" s="36">
        <f>E18-R18</f>
        <v>3862000</v>
      </c>
      <c r="T18" s="11"/>
    </row>
    <row r="19" spans="1:20" ht="23.25" customHeight="1" x14ac:dyDescent="0.25">
      <c r="A19" s="32" t="s">
        <v>36</v>
      </c>
      <c r="B19" s="33" t="s">
        <v>397</v>
      </c>
      <c r="C19" s="34">
        <v>9000000</v>
      </c>
      <c r="D19" s="19"/>
      <c r="E19" s="34">
        <f>C19+D19</f>
        <v>9000000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7">
        <f>SUM(F19:Q19)</f>
        <v>0</v>
      </c>
      <c r="S19" s="36">
        <f>E19-R19</f>
        <v>9000000</v>
      </c>
      <c r="T19" s="11"/>
    </row>
    <row r="20" spans="1:20" ht="29.25" customHeight="1" x14ac:dyDescent="0.25">
      <c r="A20" s="32" t="s">
        <v>40</v>
      </c>
      <c r="B20" s="37" t="s">
        <v>41</v>
      </c>
      <c r="C20" s="34">
        <v>9000000</v>
      </c>
      <c r="D20" s="19"/>
      <c r="E20" s="34">
        <f>+C20+D20</f>
        <v>9000000</v>
      </c>
      <c r="F20" s="34"/>
      <c r="G20" s="34"/>
      <c r="H20" s="34"/>
      <c r="I20" s="34"/>
      <c r="J20" s="34">
        <v>6486770.8300000001</v>
      </c>
      <c r="K20" s="34"/>
      <c r="L20" s="34"/>
      <c r="M20" s="34"/>
      <c r="N20" s="34"/>
      <c r="O20" s="34"/>
      <c r="P20" s="34"/>
      <c r="Q20" s="34"/>
      <c r="R20" s="27">
        <f t="shared" ref="R20:R23" si="8">SUM(F20:Q20)</f>
        <v>6486770.8300000001</v>
      </c>
      <c r="S20" s="36">
        <f>E20-R20</f>
        <v>2513229.17</v>
      </c>
      <c r="T20" s="11"/>
    </row>
    <row r="21" spans="1:20" ht="22.5" customHeight="1" x14ac:dyDescent="0.25">
      <c r="A21" s="32" t="s">
        <v>255</v>
      </c>
      <c r="B21" s="37" t="s">
        <v>256</v>
      </c>
      <c r="C21" s="34">
        <v>0</v>
      </c>
      <c r="D21" s="19">
        <v>40000</v>
      </c>
      <c r="E21" s="34">
        <f>+C21+D21</f>
        <v>40000</v>
      </c>
      <c r="F21" s="34"/>
      <c r="G21" s="34"/>
      <c r="H21" s="34"/>
      <c r="I21" s="34"/>
      <c r="J21" s="34">
        <v>40000</v>
      </c>
      <c r="K21" s="34"/>
      <c r="L21" s="34"/>
      <c r="M21" s="34"/>
      <c r="N21" s="34"/>
      <c r="O21" s="34"/>
      <c r="P21" s="34"/>
      <c r="Q21" s="34"/>
      <c r="R21" s="27">
        <f t="shared" si="8"/>
        <v>40000</v>
      </c>
      <c r="S21" s="36">
        <f>E21-R21</f>
        <v>0</v>
      </c>
      <c r="T21" s="11"/>
    </row>
    <row r="22" spans="1:20" ht="16.5" customHeight="1" x14ac:dyDescent="0.25">
      <c r="A22" s="12" t="s">
        <v>46</v>
      </c>
      <c r="B22" s="13" t="s">
        <v>47</v>
      </c>
      <c r="C22" s="73">
        <f>SUM(C23:C25)</f>
        <v>8249720</v>
      </c>
      <c r="D22" s="43">
        <f>SUM(D23:D25)</f>
        <v>0</v>
      </c>
      <c r="E22" s="55">
        <f>C22+D22</f>
        <v>8249720</v>
      </c>
      <c r="F22" s="73">
        <f>SUM(F23:F25)</f>
        <v>629499.21</v>
      </c>
      <c r="G22" s="73">
        <f t="shared" ref="G22:Q22" si="9">SUM(G23:G25)</f>
        <v>631869.15999999992</v>
      </c>
      <c r="H22" s="73">
        <f t="shared" si="9"/>
        <v>646165.30999999994</v>
      </c>
      <c r="I22" s="73">
        <f t="shared" si="9"/>
        <v>663309.43999999994</v>
      </c>
      <c r="J22" s="73">
        <f t="shared" si="9"/>
        <v>655012.04999999993</v>
      </c>
      <c r="K22" s="73">
        <f t="shared" si="9"/>
        <v>654747.04</v>
      </c>
      <c r="L22" s="73">
        <f t="shared" si="9"/>
        <v>656276.04</v>
      </c>
      <c r="M22" s="73">
        <f>SUM(M23:M25)</f>
        <v>663921.04</v>
      </c>
      <c r="N22" s="73">
        <f>SUM(N23:N25)</f>
        <v>0</v>
      </c>
      <c r="O22" s="73">
        <f t="shared" si="9"/>
        <v>0</v>
      </c>
      <c r="P22" s="73">
        <f>SUM(P23:P25)</f>
        <v>0</v>
      </c>
      <c r="Q22" s="73">
        <f t="shared" si="9"/>
        <v>0</v>
      </c>
      <c r="R22" s="55">
        <f t="shared" si="8"/>
        <v>5200799.29</v>
      </c>
      <c r="S22" s="140">
        <f>SUM(S23:S25)</f>
        <v>3048920.71</v>
      </c>
      <c r="T22" s="11"/>
    </row>
    <row r="23" spans="1:20" ht="16.5" customHeight="1" x14ac:dyDescent="0.25">
      <c r="A23" s="17" t="s">
        <v>48</v>
      </c>
      <c r="B23" s="18" t="s">
        <v>49</v>
      </c>
      <c r="C23" s="19">
        <v>3825410</v>
      </c>
      <c r="D23" s="20"/>
      <c r="E23" s="20">
        <f>C23+D23</f>
        <v>3825410</v>
      </c>
      <c r="F23" s="19">
        <v>292994.26</v>
      </c>
      <c r="G23" s="19">
        <v>294093.21000000002</v>
      </c>
      <c r="H23" s="19">
        <v>300722.36</v>
      </c>
      <c r="I23" s="19">
        <v>308273.21000000002</v>
      </c>
      <c r="J23" s="19">
        <v>304373.71000000002</v>
      </c>
      <c r="K23" s="19">
        <v>304302.81</v>
      </c>
      <c r="L23" s="19">
        <v>305011.81</v>
      </c>
      <c r="M23" s="19">
        <v>308556.81</v>
      </c>
      <c r="N23" s="19"/>
      <c r="O23" s="19"/>
      <c r="P23" s="135"/>
      <c r="Q23" s="19"/>
      <c r="R23" s="27">
        <f t="shared" si="8"/>
        <v>2418328.1800000002</v>
      </c>
      <c r="S23" s="36">
        <f>E23-R23</f>
        <v>1407081.8199999998</v>
      </c>
      <c r="T23" s="11"/>
    </row>
    <row r="24" spans="1:20" ht="17.25" customHeight="1" x14ac:dyDescent="0.25">
      <c r="A24" s="17" t="s">
        <v>50</v>
      </c>
      <c r="B24" s="18" t="s">
        <v>51</v>
      </c>
      <c r="C24" s="19">
        <v>3830805</v>
      </c>
      <c r="D24" s="20"/>
      <c r="E24" s="20">
        <f t="shared" ref="E24:E25" si="10">C24+D24</f>
        <v>3830805</v>
      </c>
      <c r="F24" s="19">
        <v>293407.5</v>
      </c>
      <c r="G24" s="19">
        <v>294508</v>
      </c>
      <c r="H24" s="19">
        <v>301146.5</v>
      </c>
      <c r="I24" s="19">
        <v>308708</v>
      </c>
      <c r="J24" s="19">
        <v>304803</v>
      </c>
      <c r="K24" s="19">
        <v>304732</v>
      </c>
      <c r="L24" s="19">
        <v>305442</v>
      </c>
      <c r="M24" s="19">
        <v>308992</v>
      </c>
      <c r="N24" s="19"/>
      <c r="O24" s="19"/>
      <c r="P24" s="135"/>
      <c r="Q24" s="19"/>
      <c r="R24" s="27">
        <f t="shared" ref="R24:R25" si="11">SUM(F24:Q24)</f>
        <v>2421739</v>
      </c>
      <c r="S24" s="36">
        <f>E24-R24</f>
        <v>1409066</v>
      </c>
      <c r="T24" s="11"/>
    </row>
    <row r="25" spans="1:20" ht="16.5" customHeight="1" x14ac:dyDescent="0.25">
      <c r="A25" s="17" t="s">
        <v>52</v>
      </c>
      <c r="B25" s="18" t="s">
        <v>53</v>
      </c>
      <c r="C25" s="19">
        <v>593505</v>
      </c>
      <c r="D25" s="20"/>
      <c r="E25" s="20">
        <f t="shared" si="10"/>
        <v>593505</v>
      </c>
      <c r="F25" s="19">
        <v>43097.45</v>
      </c>
      <c r="G25" s="19">
        <v>43267.95</v>
      </c>
      <c r="H25" s="19">
        <v>44296.45</v>
      </c>
      <c r="I25" s="19">
        <v>46328.23</v>
      </c>
      <c r="J25" s="19">
        <v>45835.34</v>
      </c>
      <c r="K25" s="19">
        <v>45712.23</v>
      </c>
      <c r="L25" s="19">
        <v>45822.23</v>
      </c>
      <c r="M25" s="19">
        <v>46372.23</v>
      </c>
      <c r="N25" s="19"/>
      <c r="O25" s="19"/>
      <c r="P25" s="135"/>
      <c r="Q25" s="19"/>
      <c r="R25" s="27">
        <f t="shared" si="11"/>
        <v>360732.10999999993</v>
      </c>
      <c r="S25" s="36">
        <f>E25-R25</f>
        <v>232772.89000000007</v>
      </c>
      <c r="T25" s="11"/>
    </row>
    <row r="26" spans="1:20" ht="18" customHeight="1" x14ac:dyDescent="0.25">
      <c r="A26" s="136">
        <v>2.2000000000000002</v>
      </c>
      <c r="B26" s="137" t="s">
        <v>54</v>
      </c>
      <c r="C26" s="378">
        <f>+C27+C43+C48+C57+C35+C38+C51+C32+C66</f>
        <v>19484000</v>
      </c>
      <c r="D26" s="379">
        <f>+D27+D43+D48+D57+D35+D38+D51+D32+D66</f>
        <v>3948528.32</v>
      </c>
      <c r="E26" s="378">
        <f>+E27+E43+E48+E57+E35+E38+E51+E32+E66</f>
        <v>23432528.32</v>
      </c>
      <c r="F26" s="378">
        <f t="shared" ref="F26:Q26" si="12">+F27+F43+F48+F57+F35+F38+F51+F32+F66</f>
        <v>513571.3</v>
      </c>
      <c r="G26" s="378">
        <f t="shared" si="12"/>
        <v>141696.25</v>
      </c>
      <c r="H26" s="378">
        <f t="shared" si="12"/>
        <v>836178.19</v>
      </c>
      <c r="I26" s="378">
        <f t="shared" si="12"/>
        <v>1191955.2400000002</v>
      </c>
      <c r="J26" s="378">
        <f t="shared" si="12"/>
        <v>3170243.8800000004</v>
      </c>
      <c r="K26" s="378">
        <f t="shared" si="12"/>
        <v>3199509.2</v>
      </c>
      <c r="L26" s="378">
        <f t="shared" si="12"/>
        <v>1930743.57</v>
      </c>
      <c r="M26" s="378">
        <f t="shared" si="12"/>
        <v>1691928.59</v>
      </c>
      <c r="N26" s="378">
        <f t="shared" si="12"/>
        <v>0</v>
      </c>
      <c r="O26" s="378">
        <f t="shared" si="12"/>
        <v>0</v>
      </c>
      <c r="P26" s="378">
        <f t="shared" si="12"/>
        <v>0</v>
      </c>
      <c r="Q26" s="378">
        <f t="shared" si="12"/>
        <v>0</v>
      </c>
      <c r="R26" s="378">
        <f>+R27+R43+R48+R57+R35+R38+R51+R32+R66</f>
        <v>12675826.220000001</v>
      </c>
      <c r="S26" s="380">
        <f>+S27+S43+S48+S57+S35+S38+S51+S32+S66</f>
        <v>10756702.1</v>
      </c>
      <c r="T26" s="11"/>
    </row>
    <row r="27" spans="1:20" ht="14.25" customHeight="1" x14ac:dyDescent="0.25">
      <c r="A27" s="12" t="s">
        <v>55</v>
      </c>
      <c r="B27" s="50" t="s">
        <v>56</v>
      </c>
      <c r="C27" s="51">
        <f t="shared" ref="C27:P27" si="13">SUM(C28:C31)</f>
        <v>4480000</v>
      </c>
      <c r="D27" s="51">
        <f>SUM(D28:D31)</f>
        <v>0</v>
      </c>
      <c r="E27" s="51">
        <f t="shared" si="13"/>
        <v>4480000</v>
      </c>
      <c r="F27" s="51">
        <f t="shared" si="13"/>
        <v>0</v>
      </c>
      <c r="G27" s="51">
        <f t="shared" si="13"/>
        <v>1762.39</v>
      </c>
      <c r="H27" s="51">
        <f t="shared" si="13"/>
        <v>5917.03</v>
      </c>
      <c r="I27" s="51">
        <f t="shared" si="13"/>
        <v>399079</v>
      </c>
      <c r="J27" s="51">
        <f>SUM(J28:J31)</f>
        <v>376891.76</v>
      </c>
      <c r="K27" s="51">
        <f t="shared" si="13"/>
        <v>546533.1</v>
      </c>
      <c r="L27" s="51">
        <f t="shared" si="13"/>
        <v>390123.54</v>
      </c>
      <c r="M27" s="51">
        <f t="shared" si="13"/>
        <v>2765.86</v>
      </c>
      <c r="N27" s="51">
        <f t="shared" si="13"/>
        <v>0</v>
      </c>
      <c r="O27" s="51">
        <f>SUM(O28:O31)</f>
        <v>0</v>
      </c>
      <c r="P27" s="51">
        <f t="shared" si="13"/>
        <v>0</v>
      </c>
      <c r="Q27" s="51">
        <f>SUM(Q28:Q31)</f>
        <v>0</v>
      </c>
      <c r="R27" s="51">
        <f>SUM(R28:R31)</f>
        <v>1723072.68</v>
      </c>
      <c r="S27" s="52">
        <f>SUM(S28:S31)</f>
        <v>2756927.3200000003</v>
      </c>
      <c r="T27" s="11"/>
    </row>
    <row r="28" spans="1:20" ht="16.5" customHeight="1" x14ac:dyDescent="0.25">
      <c r="A28" s="17" t="s">
        <v>57</v>
      </c>
      <c r="B28" s="18" t="s">
        <v>58</v>
      </c>
      <c r="C28" s="19">
        <v>2400000</v>
      </c>
      <c r="D28" s="20">
        <v>0</v>
      </c>
      <c r="E28" s="41">
        <f t="shared" ref="E28" si="14">C28+D28</f>
        <v>2400000</v>
      </c>
      <c r="F28" s="19"/>
      <c r="G28" s="19"/>
      <c r="H28" s="19"/>
      <c r="I28" s="19">
        <v>131604.03</v>
      </c>
      <c r="J28" s="19">
        <v>126499.31</v>
      </c>
      <c r="K28" s="19">
        <v>215656.68</v>
      </c>
      <c r="L28" s="19">
        <v>378867.38</v>
      </c>
      <c r="M28" s="19"/>
      <c r="N28" s="19"/>
      <c r="O28" s="19"/>
      <c r="P28" s="19"/>
      <c r="Q28" s="19"/>
      <c r="R28" s="19">
        <f>SUM(F28:Q28)</f>
        <v>852627.4</v>
      </c>
      <c r="S28" s="36">
        <f>E28-R28</f>
        <v>1547372.6</v>
      </c>
      <c r="T28" s="11"/>
    </row>
    <row r="29" spans="1:20" ht="18" customHeight="1" x14ac:dyDescent="0.25">
      <c r="A29" s="17" t="s">
        <v>59</v>
      </c>
      <c r="B29" s="18" t="s">
        <v>60</v>
      </c>
      <c r="C29" s="19">
        <v>1400000</v>
      </c>
      <c r="D29" s="27">
        <v>0</v>
      </c>
      <c r="E29" s="41">
        <f>C29+D29</f>
        <v>1400000</v>
      </c>
      <c r="F29" s="19"/>
      <c r="G29" s="19"/>
      <c r="H29" s="19"/>
      <c r="I29" s="19">
        <v>265544.21999999997</v>
      </c>
      <c r="J29" s="19">
        <v>250311.67</v>
      </c>
      <c r="K29" s="19">
        <v>330749.24</v>
      </c>
      <c r="L29" s="19">
        <v>3277.5</v>
      </c>
      <c r="M29" s="19"/>
      <c r="N29" s="19"/>
      <c r="O29" s="19"/>
      <c r="P29" s="19"/>
      <c r="Q29" s="19"/>
      <c r="R29" s="19">
        <f>SUM(F29:Q29)</f>
        <v>849882.63</v>
      </c>
      <c r="S29" s="36">
        <f>E29-R29</f>
        <v>550117.37</v>
      </c>
      <c r="T29" s="11"/>
    </row>
    <row r="30" spans="1:20" ht="15.75" customHeight="1" x14ac:dyDescent="0.25">
      <c r="A30" s="17" t="s">
        <v>61</v>
      </c>
      <c r="B30" s="18" t="s">
        <v>62</v>
      </c>
      <c r="C30" s="19">
        <v>650000</v>
      </c>
      <c r="D30" s="27">
        <v>0</v>
      </c>
      <c r="E30" s="41">
        <f>C30+D30</f>
        <v>650000</v>
      </c>
      <c r="F30" s="19"/>
      <c r="G30" s="19">
        <v>1762.39</v>
      </c>
      <c r="H30" s="19">
        <v>5917.03</v>
      </c>
      <c r="I30" s="19">
        <v>1930.75</v>
      </c>
      <c r="J30" s="19">
        <v>80.78</v>
      </c>
      <c r="K30" s="19">
        <v>127.18</v>
      </c>
      <c r="L30" s="19">
        <v>7978.66</v>
      </c>
      <c r="M30" s="19">
        <v>2765.86</v>
      </c>
      <c r="N30" s="19"/>
      <c r="O30" s="19"/>
      <c r="P30" s="19"/>
      <c r="Q30" s="19"/>
      <c r="R30" s="19">
        <f>SUM(F30:Q30)</f>
        <v>20562.650000000001</v>
      </c>
      <c r="S30" s="36">
        <f>E30-R30</f>
        <v>629437.35</v>
      </c>
      <c r="T30" s="11"/>
    </row>
    <row r="31" spans="1:20" ht="15.75" customHeight="1" x14ac:dyDescent="0.25">
      <c r="A31" s="17" t="s">
        <v>63</v>
      </c>
      <c r="B31" s="18" t="s">
        <v>64</v>
      </c>
      <c r="C31" s="19">
        <v>30000</v>
      </c>
      <c r="D31" s="27">
        <v>0</v>
      </c>
      <c r="E31" s="41">
        <f>C31+D31</f>
        <v>30000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f>SUM(F31:Q31)</f>
        <v>0</v>
      </c>
      <c r="S31" s="36">
        <f>E31-R31</f>
        <v>30000</v>
      </c>
      <c r="T31" s="11"/>
    </row>
    <row r="32" spans="1:20" ht="15" customHeight="1" x14ac:dyDescent="0.25">
      <c r="A32" s="12" t="s">
        <v>65</v>
      </c>
      <c r="B32" s="50" t="s">
        <v>66</v>
      </c>
      <c r="C32" s="55">
        <f>C33+C34</f>
        <v>0</v>
      </c>
      <c r="D32" s="55">
        <f t="shared" ref="D32:E32" si="15">D33+D34</f>
        <v>0</v>
      </c>
      <c r="E32" s="55">
        <f t="shared" si="15"/>
        <v>0</v>
      </c>
      <c r="F32" s="55">
        <f t="shared" ref="F32:N32" si="16">SUM(F33)</f>
        <v>0</v>
      </c>
      <c r="G32" s="55">
        <f t="shared" si="16"/>
        <v>0</v>
      </c>
      <c r="H32" s="55">
        <f>SUM(H33)</f>
        <v>0</v>
      </c>
      <c r="I32" s="55">
        <f t="shared" si="16"/>
        <v>0</v>
      </c>
      <c r="J32" s="55">
        <f>SUM(J33+J34)</f>
        <v>0</v>
      </c>
      <c r="K32" s="55">
        <f t="shared" si="16"/>
        <v>0</v>
      </c>
      <c r="L32" s="55">
        <f>SUM(L33:L34)</f>
        <v>0</v>
      </c>
      <c r="M32" s="55">
        <f t="shared" si="16"/>
        <v>0</v>
      </c>
      <c r="N32" s="55">
        <f t="shared" si="16"/>
        <v>0</v>
      </c>
      <c r="O32" s="55">
        <f>SUM(O33+O34)</f>
        <v>0</v>
      </c>
      <c r="P32" s="55">
        <f>SUM(P33+P34)</f>
        <v>0</v>
      </c>
      <c r="Q32" s="55">
        <f>SUM(Q33+Q34)</f>
        <v>0</v>
      </c>
      <c r="R32" s="55">
        <f>R33+R34</f>
        <v>0</v>
      </c>
      <c r="S32" s="56">
        <f>S33+S34</f>
        <v>0</v>
      </c>
      <c r="T32" s="11"/>
    </row>
    <row r="33" spans="1:20" ht="17.25" hidden="1" customHeight="1" x14ac:dyDescent="0.25">
      <c r="A33" s="17" t="s">
        <v>67</v>
      </c>
      <c r="B33" s="18" t="s">
        <v>68</v>
      </c>
      <c r="C33" s="27"/>
      <c r="D33" s="27">
        <v>0</v>
      </c>
      <c r="E33" s="97">
        <f>D33+C33</f>
        <v>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>
        <f>SUM(F33:Q33)</f>
        <v>0</v>
      </c>
      <c r="S33" s="57">
        <f>E33-R33</f>
        <v>0</v>
      </c>
      <c r="T33" s="58"/>
    </row>
    <row r="34" spans="1:20" ht="17.25" hidden="1" customHeight="1" x14ac:dyDescent="0.25">
      <c r="A34" s="17" t="s">
        <v>69</v>
      </c>
      <c r="B34" s="18" t="s">
        <v>70</v>
      </c>
      <c r="C34" s="27"/>
      <c r="D34" s="27">
        <v>0</v>
      </c>
      <c r="E34" s="97">
        <f>D34+C34</f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81"/>
      <c r="Q34" s="27"/>
      <c r="R34" s="27">
        <f>SUM(F34:Q34)</f>
        <v>0</v>
      </c>
      <c r="S34" s="57">
        <f>E34-R34</f>
        <v>0</v>
      </c>
      <c r="T34" s="58"/>
    </row>
    <row r="35" spans="1:20" ht="15" customHeight="1" x14ac:dyDescent="0.25">
      <c r="A35" s="59" t="s">
        <v>71</v>
      </c>
      <c r="B35" s="50" t="s">
        <v>72</v>
      </c>
      <c r="C35" s="51">
        <f>+C36+C37</f>
        <v>3000000</v>
      </c>
      <c r="D35" s="55">
        <f t="shared" ref="D35" si="17">D36+D37</f>
        <v>0</v>
      </c>
      <c r="E35" s="55">
        <f>E36+E37</f>
        <v>3000000</v>
      </c>
      <c r="F35" s="51">
        <f t="shared" ref="F35:G35" si="18">+F36+F37</f>
        <v>0</v>
      </c>
      <c r="G35" s="51">
        <f t="shared" si="18"/>
        <v>0</v>
      </c>
      <c r="H35" s="51">
        <f t="shared" ref="H35:Q35" si="19">SUM(H36:H37)</f>
        <v>0</v>
      </c>
      <c r="I35" s="51">
        <f t="shared" si="19"/>
        <v>0</v>
      </c>
      <c r="J35" s="51">
        <f t="shared" si="19"/>
        <v>363572.5</v>
      </c>
      <c r="K35" s="51">
        <f t="shared" si="19"/>
        <v>359115</v>
      </c>
      <c r="L35" s="51">
        <f t="shared" si="19"/>
        <v>337015</v>
      </c>
      <c r="M35" s="51">
        <f t="shared" si="19"/>
        <v>600307.5</v>
      </c>
      <c r="N35" s="51">
        <f t="shared" si="19"/>
        <v>0</v>
      </c>
      <c r="O35" s="51">
        <f t="shared" si="19"/>
        <v>0</v>
      </c>
      <c r="P35" s="51">
        <f t="shared" si="19"/>
        <v>0</v>
      </c>
      <c r="Q35" s="51">
        <f t="shared" si="19"/>
        <v>0</v>
      </c>
      <c r="R35" s="51">
        <f>R36+R37</f>
        <v>1660010</v>
      </c>
      <c r="S35" s="52">
        <f>SUM(S36:S37)</f>
        <v>1339990</v>
      </c>
      <c r="T35" s="11"/>
    </row>
    <row r="36" spans="1:20" ht="14.25" customHeight="1" x14ac:dyDescent="0.25">
      <c r="A36" s="17" t="s">
        <v>73</v>
      </c>
      <c r="B36" s="18" t="s">
        <v>74</v>
      </c>
      <c r="C36" s="19">
        <v>2600000</v>
      </c>
      <c r="D36" s="27"/>
      <c r="E36" s="27">
        <f>C36+D36</f>
        <v>2600000</v>
      </c>
      <c r="F36" s="62"/>
      <c r="G36" s="138"/>
      <c r="H36" s="62"/>
      <c r="I36" s="139"/>
      <c r="J36" s="62">
        <v>363572.5</v>
      </c>
      <c r="K36" s="62">
        <v>359115</v>
      </c>
      <c r="L36" s="62">
        <v>337015</v>
      </c>
      <c r="M36" s="337">
        <v>600307.5</v>
      </c>
      <c r="N36" s="62"/>
      <c r="O36" s="62"/>
      <c r="P36" s="62"/>
      <c r="Q36" s="62"/>
      <c r="R36" s="19">
        <f>SUM(F36:Q36)</f>
        <v>1660010</v>
      </c>
      <c r="S36" s="36">
        <f>E36-R36</f>
        <v>939990</v>
      </c>
      <c r="T36" s="11"/>
    </row>
    <row r="37" spans="1:20" ht="12.75" customHeight="1" x14ac:dyDescent="0.25">
      <c r="A37" s="17" t="s">
        <v>75</v>
      </c>
      <c r="B37" s="18" t="s">
        <v>76</v>
      </c>
      <c r="C37" s="19">
        <v>400000</v>
      </c>
      <c r="D37" s="27"/>
      <c r="E37" s="97">
        <f>C37+D37</f>
        <v>400000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19">
        <f>SUM(F37:Q37)</f>
        <v>0</v>
      </c>
      <c r="S37" s="36">
        <f>E37-R37</f>
        <v>400000</v>
      </c>
      <c r="T37" s="11"/>
    </row>
    <row r="38" spans="1:20" ht="15.75" customHeight="1" x14ac:dyDescent="0.25">
      <c r="A38" s="12" t="s">
        <v>77</v>
      </c>
      <c r="B38" s="50" t="s">
        <v>78</v>
      </c>
      <c r="C38" s="51">
        <f>SUM(C39:C42)</f>
        <v>230000</v>
      </c>
      <c r="D38" s="51">
        <f>SUM(D39:D42)</f>
        <v>341858.32</v>
      </c>
      <c r="E38" s="51">
        <f>SUM(E39:E42)</f>
        <v>571858.32000000007</v>
      </c>
      <c r="F38" s="51">
        <f t="shared" ref="F38:P38" si="20">SUM(F41)</f>
        <v>0</v>
      </c>
      <c r="G38" s="51">
        <f t="shared" si="20"/>
        <v>0</v>
      </c>
      <c r="H38" s="51">
        <f t="shared" si="20"/>
        <v>0</v>
      </c>
      <c r="I38" s="51">
        <f>SUM(I39:I42)</f>
        <v>25425</v>
      </c>
      <c r="J38" s="51">
        <f>SUM(J39+J41+J40+J42)</f>
        <v>152545</v>
      </c>
      <c r="K38" s="51">
        <f>SUM(K41+K40+K42)</f>
        <v>0</v>
      </c>
      <c r="L38" s="51">
        <f>SUM(L41+L40+L42)</f>
        <v>0</v>
      </c>
      <c r="M38" s="51">
        <f>SUM(M41+M40+M42)</f>
        <v>0</v>
      </c>
      <c r="N38" s="51">
        <f t="shared" si="20"/>
        <v>0</v>
      </c>
      <c r="O38" s="51">
        <f>SUM(O40:O42)</f>
        <v>0</v>
      </c>
      <c r="P38" s="51">
        <f t="shared" si="20"/>
        <v>0</v>
      </c>
      <c r="Q38" s="51">
        <f>SUM(Q41+Q42+Q40)</f>
        <v>0</v>
      </c>
      <c r="R38" s="51">
        <f>SUM(R39:R42)</f>
        <v>177970</v>
      </c>
      <c r="S38" s="52">
        <f>SUM(S39:S42)</f>
        <v>393888.32</v>
      </c>
      <c r="T38" s="11"/>
    </row>
    <row r="39" spans="1:20" ht="15.75" customHeight="1" x14ac:dyDescent="0.25">
      <c r="A39" s="17" t="s">
        <v>79</v>
      </c>
      <c r="B39" s="64" t="s">
        <v>80</v>
      </c>
      <c r="C39" s="19">
        <v>50000</v>
      </c>
      <c r="D39" s="27">
        <v>180000</v>
      </c>
      <c r="E39" s="68">
        <f>C39+D39</f>
        <v>230000</v>
      </c>
      <c r="F39" s="62"/>
      <c r="G39" s="62"/>
      <c r="H39" s="62"/>
      <c r="I39" s="62">
        <v>25425</v>
      </c>
      <c r="J39" s="62">
        <v>10945</v>
      </c>
      <c r="K39" s="62"/>
      <c r="L39" s="62"/>
      <c r="M39" s="62"/>
      <c r="N39" s="62"/>
      <c r="O39" s="62"/>
      <c r="P39" s="382"/>
      <c r="Q39" s="62"/>
      <c r="R39" s="19">
        <f>SUM(F39:Q39)</f>
        <v>36370</v>
      </c>
      <c r="S39" s="36">
        <f>E39-R39</f>
        <v>193630</v>
      </c>
      <c r="T39" s="11"/>
    </row>
    <row r="40" spans="1:20" ht="15.75" customHeight="1" x14ac:dyDescent="0.25">
      <c r="A40" s="17" t="s">
        <v>81</v>
      </c>
      <c r="B40" s="18" t="s">
        <v>257</v>
      </c>
      <c r="C40" s="19">
        <v>80000</v>
      </c>
      <c r="D40" s="27">
        <v>-70000</v>
      </c>
      <c r="E40" s="68">
        <f>C40+D40</f>
        <v>10000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382"/>
      <c r="Q40" s="62"/>
      <c r="R40" s="19">
        <f>SUM(F40:Q40)</f>
        <v>0</v>
      </c>
      <c r="S40" s="36">
        <f>E40-R40</f>
        <v>10000</v>
      </c>
      <c r="T40" s="11"/>
    </row>
    <row r="41" spans="1:20" ht="15.75" customHeight="1" x14ac:dyDescent="0.25">
      <c r="A41" s="17" t="s">
        <v>258</v>
      </c>
      <c r="B41" s="18" t="s">
        <v>259</v>
      </c>
      <c r="C41" s="19">
        <v>0</v>
      </c>
      <c r="D41" s="27">
        <v>231858.32</v>
      </c>
      <c r="E41" s="68">
        <f>C41+D41</f>
        <v>231858.32</v>
      </c>
      <c r="F41" s="62"/>
      <c r="G41" s="62"/>
      <c r="H41" s="62"/>
      <c r="I41" s="62"/>
      <c r="J41" s="62">
        <v>141600</v>
      </c>
      <c r="K41" s="62"/>
      <c r="L41" s="62"/>
      <c r="M41" s="62"/>
      <c r="N41" s="62"/>
      <c r="O41" s="62"/>
      <c r="P41" s="62"/>
      <c r="Q41" s="62"/>
      <c r="R41" s="19">
        <f>SUM(F41:Q41)</f>
        <v>141600</v>
      </c>
      <c r="S41" s="36">
        <f t="shared" ref="S41:S42" si="21">E41-R41</f>
        <v>90258.32</v>
      </c>
      <c r="T41" s="11"/>
    </row>
    <row r="42" spans="1:20" ht="15.75" customHeight="1" x14ac:dyDescent="0.25">
      <c r="A42" s="17" t="s">
        <v>260</v>
      </c>
      <c r="B42" s="18" t="s">
        <v>261</v>
      </c>
      <c r="C42" s="19">
        <v>100000</v>
      </c>
      <c r="D42" s="27">
        <v>0</v>
      </c>
      <c r="E42" s="68">
        <f>C42+D42</f>
        <v>100000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19">
        <f>SUM(F42:Q42)</f>
        <v>0</v>
      </c>
      <c r="S42" s="36">
        <f t="shared" si="21"/>
        <v>100000</v>
      </c>
      <c r="T42" s="11"/>
    </row>
    <row r="43" spans="1:20" ht="17.25" customHeight="1" x14ac:dyDescent="0.25">
      <c r="A43" s="12" t="s">
        <v>82</v>
      </c>
      <c r="B43" s="50" t="s">
        <v>83</v>
      </c>
      <c r="C43" s="51">
        <f>SUM(C44:C47)</f>
        <v>5775000</v>
      </c>
      <c r="D43" s="51">
        <f>SUM(D44:D47)</f>
        <v>1290000</v>
      </c>
      <c r="E43" s="51">
        <f>SUM(E44:E47)</f>
        <v>7065000</v>
      </c>
      <c r="F43" s="51">
        <f t="shared" ref="F43" si="22">SUM(F44:F47)</f>
        <v>0</v>
      </c>
      <c r="G43" s="51">
        <f t="shared" ref="G43" si="23">SUM(G44:G47)</f>
        <v>55066.66</v>
      </c>
      <c r="H43" s="51">
        <f t="shared" ref="H43" si="24">SUM(H44:H47)</f>
        <v>195332.77</v>
      </c>
      <c r="I43" s="51">
        <f t="shared" ref="I43" si="25">SUM(I44:I47)</f>
        <v>449999.84</v>
      </c>
      <c r="J43" s="51">
        <f>SUM(J44:J47)</f>
        <v>726065.94</v>
      </c>
      <c r="K43" s="51">
        <f t="shared" ref="K43" si="26">SUM(K44:K47)</f>
        <v>1954888.71</v>
      </c>
      <c r="L43" s="51">
        <f t="shared" ref="L43" si="27">SUM(L44:L47)</f>
        <v>534959.84000000008</v>
      </c>
      <c r="M43" s="51">
        <f t="shared" ref="M43" si="28">SUM(M44:M47)</f>
        <v>534959.84000000008</v>
      </c>
      <c r="N43" s="51">
        <f t="shared" ref="N43" si="29">SUM(N44:N47)</f>
        <v>0</v>
      </c>
      <c r="O43" s="51">
        <f t="shared" ref="O43" si="30">SUM(O44:O47)</f>
        <v>0</v>
      </c>
      <c r="P43" s="51">
        <f t="shared" ref="P43" si="31">SUM(P44:P47)</f>
        <v>0</v>
      </c>
      <c r="Q43" s="51">
        <f t="shared" ref="Q43" si="32">SUM(Q44:Q47)</f>
        <v>0</v>
      </c>
      <c r="R43" s="51">
        <f t="shared" ref="R43:S43" si="33">SUM(R44:R47)</f>
        <v>4451273.5999999996</v>
      </c>
      <c r="S43" s="52">
        <f t="shared" si="33"/>
        <v>2613726.4000000004</v>
      </c>
      <c r="T43" s="11"/>
    </row>
    <row r="44" spans="1:20" ht="15.75" customHeight="1" x14ac:dyDescent="0.25">
      <c r="A44" s="17" t="s">
        <v>84</v>
      </c>
      <c r="B44" s="18" t="s">
        <v>85</v>
      </c>
      <c r="C44" s="19">
        <v>1800000</v>
      </c>
      <c r="D44" s="27">
        <v>-110000</v>
      </c>
      <c r="E44" s="41">
        <f>C44+D44</f>
        <v>1690000</v>
      </c>
      <c r="F44" s="19"/>
      <c r="G44" s="19">
        <v>55066.66</v>
      </c>
      <c r="H44" s="19">
        <v>195332.77</v>
      </c>
      <c r="I44" s="19"/>
      <c r="J44" s="19">
        <v>276066.09999999998</v>
      </c>
      <c r="K44" s="19">
        <v>104888.87</v>
      </c>
      <c r="L44" s="19"/>
      <c r="M44" s="19"/>
      <c r="N44" s="19"/>
      <c r="O44" s="19"/>
      <c r="P44" s="19"/>
      <c r="Q44" s="19"/>
      <c r="R44" s="383">
        <f>SUM(F44:Q44)</f>
        <v>631354.4</v>
      </c>
      <c r="S44" s="384">
        <f>E44-R44</f>
        <v>1058645.6000000001</v>
      </c>
      <c r="T44" s="11"/>
    </row>
    <row r="45" spans="1:20" ht="15.75" customHeight="1" x14ac:dyDescent="0.25">
      <c r="A45" s="17" t="s">
        <v>86</v>
      </c>
      <c r="B45" s="18" t="s">
        <v>262</v>
      </c>
      <c r="C45" s="19">
        <v>1200000</v>
      </c>
      <c r="D45" s="27">
        <v>0</v>
      </c>
      <c r="E45" s="41">
        <f>C45+D45</f>
        <v>1200000</v>
      </c>
      <c r="F45" s="19"/>
      <c r="G45" s="19"/>
      <c r="H45" s="19"/>
      <c r="I45" s="19"/>
      <c r="J45" s="19"/>
      <c r="K45" s="19"/>
      <c r="L45" s="19">
        <v>84960</v>
      </c>
      <c r="M45" s="19">
        <v>84960</v>
      </c>
      <c r="N45" s="19"/>
      <c r="O45" s="19"/>
      <c r="P45" s="19"/>
      <c r="Q45" s="19"/>
      <c r="R45" s="383">
        <f>SUM(F45:Q45)</f>
        <v>169920</v>
      </c>
      <c r="S45" s="57">
        <f>E45-R45</f>
        <v>1030080</v>
      </c>
      <c r="T45" s="11"/>
    </row>
    <row r="46" spans="1:20" ht="32.25" customHeight="1" x14ac:dyDescent="0.25">
      <c r="A46" s="39" t="s">
        <v>87</v>
      </c>
      <c r="B46" s="141" t="s">
        <v>263</v>
      </c>
      <c r="C46" s="41">
        <v>2700000</v>
      </c>
      <c r="D46" s="20">
        <v>1400000</v>
      </c>
      <c r="E46" s="41">
        <f>C46+D46</f>
        <v>4100000</v>
      </c>
      <c r="F46" s="54"/>
      <c r="G46" s="54"/>
      <c r="H46" s="54"/>
      <c r="I46" s="41">
        <v>449999.84</v>
      </c>
      <c r="J46" s="41">
        <v>449999.84</v>
      </c>
      <c r="K46" s="41">
        <v>1849999.84</v>
      </c>
      <c r="L46" s="41">
        <v>449999.84</v>
      </c>
      <c r="M46" s="41">
        <v>449999.84</v>
      </c>
      <c r="N46" s="41"/>
      <c r="O46" s="54"/>
      <c r="P46" s="41"/>
      <c r="Q46" s="385"/>
      <c r="R46" s="383">
        <f>SUM(F46:Q46)</f>
        <v>3649999.1999999997</v>
      </c>
      <c r="S46" s="384">
        <f>E46-R46</f>
        <v>450000.80000000028</v>
      </c>
      <c r="T46" s="16"/>
    </row>
    <row r="47" spans="1:20" ht="30" customHeight="1" x14ac:dyDescent="0.25">
      <c r="A47" s="17" t="s">
        <v>88</v>
      </c>
      <c r="B47" s="141" t="s">
        <v>264</v>
      </c>
      <c r="C47" s="41">
        <v>75000</v>
      </c>
      <c r="D47" s="20">
        <v>0</v>
      </c>
      <c r="E47" s="41">
        <f>C47+D47</f>
        <v>75000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383">
        <f>SUM(F47:Q47)</f>
        <v>0</v>
      </c>
      <c r="S47" s="384">
        <f>E47-R47</f>
        <v>75000</v>
      </c>
      <c r="T47" s="16"/>
    </row>
    <row r="48" spans="1:20" ht="15.75" customHeight="1" x14ac:dyDescent="0.25">
      <c r="A48" s="12" t="s">
        <v>265</v>
      </c>
      <c r="B48" s="50" t="s">
        <v>266</v>
      </c>
      <c r="C48" s="73">
        <f>SUM(C49:C50)</f>
        <v>4600000</v>
      </c>
      <c r="D48" s="73">
        <f>SUM(D49:D50)</f>
        <v>160000</v>
      </c>
      <c r="E48" s="73">
        <f>SUM(E49:E50)</f>
        <v>4760000</v>
      </c>
      <c r="F48" s="73">
        <f t="shared" ref="F48:Q48" si="34">SUM(F49:F50)</f>
        <v>513571.3</v>
      </c>
      <c r="G48" s="73">
        <f t="shared" si="34"/>
        <v>84867.199999999997</v>
      </c>
      <c r="H48" s="73">
        <f t="shared" si="34"/>
        <v>551088.39</v>
      </c>
      <c r="I48" s="73">
        <f t="shared" si="34"/>
        <v>317451.40000000002</v>
      </c>
      <c r="J48" s="73">
        <f t="shared" si="34"/>
        <v>1353169.08</v>
      </c>
      <c r="K48" s="73">
        <f t="shared" si="34"/>
        <v>338972.39</v>
      </c>
      <c r="L48" s="73">
        <f t="shared" si="34"/>
        <v>339198.39</v>
      </c>
      <c r="M48" s="73">
        <f t="shared" si="34"/>
        <v>355655.39</v>
      </c>
      <c r="N48" s="73">
        <f t="shared" si="34"/>
        <v>0</v>
      </c>
      <c r="O48" s="73">
        <f t="shared" si="34"/>
        <v>0</v>
      </c>
      <c r="P48" s="73">
        <f t="shared" si="34"/>
        <v>0</v>
      </c>
      <c r="Q48" s="73">
        <f t="shared" si="34"/>
        <v>0</v>
      </c>
      <c r="R48" s="73">
        <f>SUM(R49:R50)</f>
        <v>3853973.5400000005</v>
      </c>
      <c r="S48" s="140">
        <f>SUM(S49:S50)</f>
        <v>906026.45999999938</v>
      </c>
      <c r="T48" s="11"/>
    </row>
    <row r="49" spans="1:20" ht="19.5" customHeight="1" x14ac:dyDescent="0.25">
      <c r="A49" s="142" t="s">
        <v>267</v>
      </c>
      <c r="B49" s="143" t="s">
        <v>268</v>
      </c>
      <c r="C49" s="27">
        <v>950000</v>
      </c>
      <c r="D49" s="27">
        <v>160000</v>
      </c>
      <c r="E49" s="68">
        <f>+C49+D49</f>
        <v>1110000</v>
      </c>
      <c r="F49" s="65"/>
      <c r="G49" s="65"/>
      <c r="H49" s="386">
        <v>22141.09</v>
      </c>
      <c r="I49" s="69">
        <v>0</v>
      </c>
      <c r="J49" s="69">
        <v>1018888.19</v>
      </c>
      <c r="K49" s="65"/>
      <c r="L49" s="27"/>
      <c r="M49" s="386"/>
      <c r="N49" s="386"/>
      <c r="O49" s="65"/>
      <c r="P49" s="386"/>
      <c r="Q49" s="65"/>
      <c r="R49" s="69">
        <f>SUM(F49:Q49)</f>
        <v>1041029.2799999999</v>
      </c>
      <c r="S49" s="57">
        <f>E49-R49</f>
        <v>68970.720000000088</v>
      </c>
      <c r="T49" s="58"/>
    </row>
    <row r="50" spans="1:20" ht="19.5" customHeight="1" x14ac:dyDescent="0.25">
      <c r="A50" s="17" t="s">
        <v>269</v>
      </c>
      <c r="B50" s="18" t="s">
        <v>270</v>
      </c>
      <c r="C50" s="27">
        <v>3650000</v>
      </c>
      <c r="D50" s="41">
        <v>0</v>
      </c>
      <c r="E50" s="20">
        <f>C50+D50</f>
        <v>3650000</v>
      </c>
      <c r="F50" s="27">
        <v>513571.3</v>
      </c>
      <c r="G50" s="27">
        <v>84867.199999999997</v>
      </c>
      <c r="H50" s="27">
        <v>528947.30000000005</v>
      </c>
      <c r="I50" s="27">
        <v>317451.40000000002</v>
      </c>
      <c r="J50" s="27">
        <v>334280.89</v>
      </c>
      <c r="K50" s="27">
        <v>338972.39</v>
      </c>
      <c r="L50" s="27">
        <v>339198.39</v>
      </c>
      <c r="M50" s="27">
        <v>355655.39</v>
      </c>
      <c r="N50" s="27"/>
      <c r="O50" s="27"/>
      <c r="P50" s="27"/>
      <c r="Q50" s="27"/>
      <c r="R50" s="27">
        <f>SUM(F50:Q50)</f>
        <v>2812944.2600000007</v>
      </c>
      <c r="S50" s="57">
        <f>E50-R50</f>
        <v>837055.73999999929</v>
      </c>
      <c r="T50" s="58"/>
    </row>
    <row r="51" spans="1:20" ht="32.25" customHeight="1" x14ac:dyDescent="0.25">
      <c r="A51" s="12" t="s">
        <v>89</v>
      </c>
      <c r="B51" s="66" t="s">
        <v>90</v>
      </c>
      <c r="C51" s="73">
        <f t="shared" ref="C51:S51" si="35">SUM(C52:C56)</f>
        <v>1000000</v>
      </c>
      <c r="D51" s="55">
        <f t="shared" si="35"/>
        <v>9500</v>
      </c>
      <c r="E51" s="73">
        <f t="shared" si="35"/>
        <v>1009500</v>
      </c>
      <c r="F51" s="73">
        <f t="shared" si="35"/>
        <v>0</v>
      </c>
      <c r="G51" s="73">
        <f t="shared" si="35"/>
        <v>0</v>
      </c>
      <c r="H51" s="73">
        <f t="shared" si="35"/>
        <v>9500</v>
      </c>
      <c r="I51" s="73">
        <f t="shared" si="35"/>
        <v>0</v>
      </c>
      <c r="J51" s="73">
        <f t="shared" si="35"/>
        <v>0</v>
      </c>
      <c r="K51" s="73">
        <f t="shared" si="35"/>
        <v>0</v>
      </c>
      <c r="L51" s="73">
        <f t="shared" si="35"/>
        <v>204446.8</v>
      </c>
      <c r="M51" s="73">
        <f t="shared" si="35"/>
        <v>0</v>
      </c>
      <c r="N51" s="73">
        <f t="shared" si="35"/>
        <v>0</v>
      </c>
      <c r="O51" s="73">
        <f t="shared" si="35"/>
        <v>0</v>
      </c>
      <c r="P51" s="73">
        <f t="shared" si="35"/>
        <v>0</v>
      </c>
      <c r="Q51" s="73">
        <f t="shared" si="35"/>
        <v>0</v>
      </c>
      <c r="R51" s="55">
        <f t="shared" si="35"/>
        <v>213946.8</v>
      </c>
      <c r="S51" s="56">
        <f t="shared" si="35"/>
        <v>795553.2</v>
      </c>
      <c r="T51" s="11"/>
    </row>
    <row r="52" spans="1:20" ht="15.75" hidden="1" customHeight="1" x14ac:dyDescent="0.25">
      <c r="A52" s="17" t="s">
        <v>91</v>
      </c>
      <c r="B52" s="64" t="s">
        <v>92</v>
      </c>
      <c r="C52" s="27"/>
      <c r="D52" s="27"/>
      <c r="E52" s="68"/>
      <c r="F52" s="69"/>
      <c r="G52" s="69"/>
      <c r="H52" s="65"/>
      <c r="I52" s="27"/>
      <c r="J52" s="65"/>
      <c r="K52" s="65"/>
      <c r="L52" s="69"/>
      <c r="M52" s="69"/>
      <c r="N52" s="69"/>
      <c r="O52" s="69"/>
      <c r="P52" s="386"/>
      <c r="Q52" s="65"/>
      <c r="R52" s="27">
        <f t="shared" ref="R52:R56" si="36">SUM(F52:Q52)</f>
        <v>0</v>
      </c>
      <c r="S52" s="57">
        <f t="shared" ref="S52:S56" si="37">E52-R52</f>
        <v>0</v>
      </c>
      <c r="T52" s="58"/>
    </row>
    <row r="53" spans="1:20" ht="15" hidden="1" customHeight="1" x14ac:dyDescent="0.25">
      <c r="A53" s="17" t="s">
        <v>95</v>
      </c>
      <c r="B53" s="64" t="s">
        <v>271</v>
      </c>
      <c r="C53" s="27"/>
      <c r="D53" s="20"/>
      <c r="E53" s="68"/>
      <c r="F53" s="69"/>
      <c r="G53" s="65"/>
      <c r="H53" s="27"/>
      <c r="I53" s="27"/>
      <c r="J53" s="27"/>
      <c r="K53" s="27"/>
      <c r="L53" s="27"/>
      <c r="M53" s="27"/>
      <c r="N53" s="27"/>
      <c r="O53" s="27"/>
      <c r="P53" s="27"/>
      <c r="Q53" s="65"/>
      <c r="R53" s="27">
        <f t="shared" si="36"/>
        <v>0</v>
      </c>
      <c r="S53" s="71">
        <f t="shared" si="37"/>
        <v>0</v>
      </c>
      <c r="T53" s="58"/>
    </row>
    <row r="54" spans="1:20" ht="27.75" customHeight="1" x14ac:dyDescent="0.25">
      <c r="A54" s="17" t="s">
        <v>97</v>
      </c>
      <c r="B54" s="64" t="s">
        <v>398</v>
      </c>
      <c r="C54" s="27"/>
      <c r="D54" s="27">
        <v>9500</v>
      </c>
      <c r="E54" s="68">
        <f>+C54+D54</f>
        <v>9500</v>
      </c>
      <c r="F54" s="69"/>
      <c r="G54" s="27"/>
      <c r="H54" s="27">
        <v>9500</v>
      </c>
      <c r="I54" s="27"/>
      <c r="J54" s="65"/>
      <c r="K54" s="69"/>
      <c r="L54" s="27"/>
      <c r="M54" s="65"/>
      <c r="N54" s="27"/>
      <c r="O54" s="27"/>
      <c r="P54" s="65"/>
      <c r="Q54" s="386"/>
      <c r="R54" s="27">
        <f t="shared" si="36"/>
        <v>9500</v>
      </c>
      <c r="S54" s="57">
        <f t="shared" si="37"/>
        <v>0</v>
      </c>
      <c r="T54" s="58"/>
    </row>
    <row r="55" spans="1:20" ht="28.5" customHeight="1" x14ac:dyDescent="0.25">
      <c r="A55" s="17" t="s">
        <v>101</v>
      </c>
      <c r="B55" s="72" t="s">
        <v>102</v>
      </c>
      <c r="C55" s="27">
        <v>1000000</v>
      </c>
      <c r="D55" s="27"/>
      <c r="E55" s="68">
        <f t="shared" ref="E55" si="38">C55+D55</f>
        <v>1000000</v>
      </c>
      <c r="F55" s="69"/>
      <c r="G55" s="27"/>
      <c r="H55" s="27"/>
      <c r="I55" s="27"/>
      <c r="J55" s="27"/>
      <c r="K55" s="27"/>
      <c r="L55" s="27">
        <v>204446.8</v>
      </c>
      <c r="M55" s="27"/>
      <c r="N55" s="27"/>
      <c r="O55" s="27"/>
      <c r="P55" s="387"/>
      <c r="Q55" s="27"/>
      <c r="R55" s="27">
        <f t="shared" si="36"/>
        <v>204446.8</v>
      </c>
      <c r="S55" s="57">
        <f t="shared" si="37"/>
        <v>795553.2</v>
      </c>
      <c r="T55" s="58"/>
    </row>
    <row r="56" spans="1:20" ht="29.25" hidden="1" customHeight="1" x14ac:dyDescent="0.25">
      <c r="A56" s="17" t="s">
        <v>103</v>
      </c>
      <c r="B56" s="64" t="s">
        <v>272</v>
      </c>
      <c r="C56" s="41"/>
      <c r="D56" s="27"/>
      <c r="E56" s="68"/>
      <c r="F56" s="65"/>
      <c r="G56" s="65"/>
      <c r="H56" s="27"/>
      <c r="I56" s="27"/>
      <c r="J56" s="69"/>
      <c r="K56" s="27"/>
      <c r="L56" s="27"/>
      <c r="M56" s="65"/>
      <c r="N56" s="27"/>
      <c r="O56" s="27"/>
      <c r="P56" s="388"/>
      <c r="Q56" s="27"/>
      <c r="R56" s="27">
        <f t="shared" si="36"/>
        <v>0</v>
      </c>
      <c r="S56" s="57">
        <f t="shared" si="37"/>
        <v>0</v>
      </c>
      <c r="T56" s="58"/>
    </row>
    <row r="57" spans="1:20" ht="16.5" customHeight="1" x14ac:dyDescent="0.25">
      <c r="A57" s="12" t="s">
        <v>105</v>
      </c>
      <c r="B57" s="50" t="s">
        <v>273</v>
      </c>
      <c r="C57" s="73">
        <f>SUM(C58:C65)</f>
        <v>399000</v>
      </c>
      <c r="D57" s="67">
        <f>SUM(D58:D65)</f>
        <v>647170</v>
      </c>
      <c r="E57" s="55">
        <f>SUM(E58:E65)</f>
        <v>1046170</v>
      </c>
      <c r="F57" s="73">
        <f>SUM(F58:F64)</f>
        <v>0</v>
      </c>
      <c r="G57" s="73">
        <f>SUM(G58:G64)</f>
        <v>0</v>
      </c>
      <c r="H57" s="73">
        <f t="shared" ref="H57:S57" si="39">SUM(H58:H65)</f>
        <v>74340</v>
      </c>
      <c r="I57" s="73">
        <f t="shared" si="39"/>
        <v>0</v>
      </c>
      <c r="J57" s="73">
        <f t="shared" si="39"/>
        <v>197999.6</v>
      </c>
      <c r="K57" s="73">
        <f t="shared" si="39"/>
        <v>0</v>
      </c>
      <c r="L57" s="73">
        <f t="shared" si="39"/>
        <v>125000</v>
      </c>
      <c r="M57" s="73">
        <f t="shared" si="39"/>
        <v>198240</v>
      </c>
      <c r="N57" s="73">
        <f t="shared" si="39"/>
        <v>0</v>
      </c>
      <c r="O57" s="73">
        <f t="shared" si="39"/>
        <v>0</v>
      </c>
      <c r="P57" s="73">
        <f t="shared" si="39"/>
        <v>0</v>
      </c>
      <c r="Q57" s="73">
        <f t="shared" si="39"/>
        <v>0</v>
      </c>
      <c r="R57" s="73">
        <f t="shared" si="39"/>
        <v>595579.6</v>
      </c>
      <c r="S57" s="140">
        <f t="shared" si="39"/>
        <v>450590.4</v>
      </c>
      <c r="T57" s="11"/>
    </row>
    <row r="58" spans="1:20" ht="17.25" customHeight="1" x14ac:dyDescent="0.25">
      <c r="A58" s="17" t="s">
        <v>274</v>
      </c>
      <c r="B58" s="18" t="s">
        <v>275</v>
      </c>
      <c r="C58" s="19">
        <v>24000</v>
      </c>
      <c r="D58" s="19"/>
      <c r="E58" s="94">
        <f>C58+D58</f>
        <v>24000</v>
      </c>
      <c r="F58" s="62"/>
      <c r="G58" s="19"/>
      <c r="H58" s="19"/>
      <c r="I58" s="28"/>
      <c r="J58" s="28"/>
      <c r="K58" s="19"/>
      <c r="L58" s="28"/>
      <c r="M58" s="28"/>
      <c r="N58" s="19"/>
      <c r="O58" s="28"/>
      <c r="P58" s="28"/>
      <c r="Q58" s="19"/>
      <c r="R58" s="27">
        <f>SUM(F58:Q58)</f>
        <v>0</v>
      </c>
      <c r="S58" s="57">
        <f t="shared" ref="S58:S64" si="40">E58-R58</f>
        <v>24000</v>
      </c>
      <c r="T58" s="11"/>
    </row>
    <row r="59" spans="1:20" ht="17.25" customHeight="1" x14ac:dyDescent="0.25">
      <c r="A59" s="17" t="s">
        <v>107</v>
      </c>
      <c r="B59" s="18" t="s">
        <v>108</v>
      </c>
      <c r="C59" s="19">
        <v>50000</v>
      </c>
      <c r="D59" s="19"/>
      <c r="E59" s="94">
        <f>C59+D59</f>
        <v>50000</v>
      </c>
      <c r="F59" s="62"/>
      <c r="G59" s="19"/>
      <c r="H59" s="19"/>
      <c r="I59" s="28"/>
      <c r="J59" s="28"/>
      <c r="K59" s="19"/>
      <c r="L59" s="28"/>
      <c r="M59" s="28"/>
      <c r="N59" s="19"/>
      <c r="O59" s="28"/>
      <c r="P59" s="28"/>
      <c r="Q59" s="19"/>
      <c r="R59" s="27">
        <f t="shared" ref="R59:R60" si="41">SUM(F59:Q59)</f>
        <v>0</v>
      </c>
      <c r="S59" s="57">
        <f t="shared" si="40"/>
        <v>50000</v>
      </c>
      <c r="T59" s="11"/>
    </row>
    <row r="60" spans="1:20" ht="17.25" customHeight="1" x14ac:dyDescent="0.25">
      <c r="A60" s="17" t="s">
        <v>411</v>
      </c>
      <c r="B60" s="18" t="s">
        <v>412</v>
      </c>
      <c r="C60" s="19"/>
      <c r="D60" s="19">
        <v>40000</v>
      </c>
      <c r="E60" s="94">
        <f>C60+D60</f>
        <v>40000</v>
      </c>
      <c r="F60" s="62"/>
      <c r="G60" s="19"/>
      <c r="H60" s="19"/>
      <c r="I60" s="28"/>
      <c r="J60" s="28"/>
      <c r="K60" s="19"/>
      <c r="L60" s="28"/>
      <c r="M60" s="28"/>
      <c r="N60" s="19"/>
      <c r="O60" s="28"/>
      <c r="P60" s="28"/>
      <c r="Q60" s="19"/>
      <c r="R60" s="27">
        <f t="shared" si="41"/>
        <v>0</v>
      </c>
      <c r="S60" s="57">
        <f t="shared" si="40"/>
        <v>40000</v>
      </c>
      <c r="T60" s="11"/>
    </row>
    <row r="61" spans="1:20" ht="18" customHeight="1" x14ac:dyDescent="0.25">
      <c r="A61" s="17" t="s">
        <v>113</v>
      </c>
      <c r="B61" s="18" t="s">
        <v>114</v>
      </c>
      <c r="C61" s="27">
        <v>150000</v>
      </c>
      <c r="D61" s="19"/>
      <c r="E61" s="94">
        <f t="shared" ref="E61:E65" si="42">C61+D61</f>
        <v>150000</v>
      </c>
      <c r="F61" s="62"/>
      <c r="G61" s="28"/>
      <c r="H61" s="28"/>
      <c r="I61" s="19"/>
      <c r="J61" s="19"/>
      <c r="K61" s="28"/>
      <c r="L61" s="19"/>
      <c r="M61" s="19"/>
      <c r="N61" s="19"/>
      <c r="O61" s="19"/>
      <c r="P61" s="28"/>
      <c r="Q61" s="93"/>
      <c r="R61" s="27">
        <f t="shared" ref="R61" si="43">SUM(F61:Q61)</f>
        <v>0</v>
      </c>
      <c r="S61" s="36">
        <f t="shared" si="40"/>
        <v>150000</v>
      </c>
      <c r="T61" s="11"/>
    </row>
    <row r="62" spans="1:20" ht="15.75" customHeight="1" x14ac:dyDescent="0.25">
      <c r="A62" s="17" t="s">
        <v>115</v>
      </c>
      <c r="B62" s="18" t="s">
        <v>116</v>
      </c>
      <c r="C62" s="27">
        <v>50000</v>
      </c>
      <c r="D62" s="27">
        <v>351770</v>
      </c>
      <c r="E62" s="94">
        <f t="shared" si="42"/>
        <v>401770</v>
      </c>
      <c r="F62" s="27"/>
      <c r="G62" s="27"/>
      <c r="H62" s="27">
        <v>74340</v>
      </c>
      <c r="I62" s="27"/>
      <c r="J62" s="27"/>
      <c r="K62" s="27"/>
      <c r="L62" s="27"/>
      <c r="M62" s="27">
        <v>198240</v>
      </c>
      <c r="N62" s="27"/>
      <c r="O62" s="27"/>
      <c r="P62" s="386"/>
      <c r="Q62" s="386"/>
      <c r="R62" s="27">
        <f>SUM(F62:Q62)</f>
        <v>272580</v>
      </c>
      <c r="S62" s="36">
        <f t="shared" si="40"/>
        <v>129190</v>
      </c>
      <c r="T62" s="58"/>
    </row>
    <row r="63" spans="1:20" ht="15.75" customHeight="1" x14ac:dyDescent="0.25">
      <c r="A63" s="17" t="s">
        <v>399</v>
      </c>
      <c r="B63" s="18" t="s">
        <v>400</v>
      </c>
      <c r="C63" s="27"/>
      <c r="D63" s="27">
        <v>255400</v>
      </c>
      <c r="E63" s="94">
        <f t="shared" si="42"/>
        <v>255400</v>
      </c>
      <c r="F63" s="27"/>
      <c r="G63" s="27"/>
      <c r="H63" s="27"/>
      <c r="I63" s="27"/>
      <c r="J63" s="27">
        <v>197999.6</v>
      </c>
      <c r="K63" s="27"/>
      <c r="L63" s="27">
        <v>125000</v>
      </c>
      <c r="M63" s="27"/>
      <c r="N63" s="27"/>
      <c r="O63" s="27"/>
      <c r="P63" s="386"/>
      <c r="Q63" s="386"/>
      <c r="R63" s="27">
        <f>SUM(F63:Q63)</f>
        <v>322999.59999999998</v>
      </c>
      <c r="S63" s="36">
        <f t="shared" si="40"/>
        <v>-67599.599999999977</v>
      </c>
      <c r="T63" s="58"/>
    </row>
    <row r="64" spans="1:20" ht="15.75" customHeight="1" x14ac:dyDescent="0.25">
      <c r="A64" s="17" t="s">
        <v>119</v>
      </c>
      <c r="B64" s="18" t="s">
        <v>276</v>
      </c>
      <c r="C64" s="27">
        <v>100000</v>
      </c>
      <c r="D64" s="27"/>
      <c r="E64" s="94">
        <f t="shared" si="42"/>
        <v>100000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>
        <f>SUM(F64:Q64)</f>
        <v>0</v>
      </c>
      <c r="S64" s="36">
        <f t="shared" si="40"/>
        <v>100000</v>
      </c>
      <c r="T64" s="58"/>
    </row>
    <row r="65" spans="1:20" ht="15.75" customHeight="1" x14ac:dyDescent="0.25">
      <c r="A65" s="17" t="s">
        <v>277</v>
      </c>
      <c r="B65" s="18" t="s">
        <v>278</v>
      </c>
      <c r="C65" s="27">
        <v>25000</v>
      </c>
      <c r="D65" s="27"/>
      <c r="E65" s="94">
        <f t="shared" si="42"/>
        <v>25000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>
        <f>SUM(F65:Q65)</f>
        <v>0</v>
      </c>
      <c r="S65" s="36">
        <f>E65-R65</f>
        <v>25000</v>
      </c>
      <c r="T65" s="58"/>
    </row>
    <row r="66" spans="1:20" ht="15" customHeight="1" x14ac:dyDescent="0.25">
      <c r="A66" s="12" t="s">
        <v>121</v>
      </c>
      <c r="B66" s="50" t="s">
        <v>122</v>
      </c>
      <c r="C66" s="55">
        <f>+C67+C68</f>
        <v>0</v>
      </c>
      <c r="D66" s="55">
        <f t="shared" ref="D66" si="44">+D67+D68</f>
        <v>1500000</v>
      </c>
      <c r="E66" s="55">
        <f>+E67+E68</f>
        <v>1500000</v>
      </c>
      <c r="F66" s="73">
        <f>F67</f>
        <v>0</v>
      </c>
      <c r="G66" s="73">
        <f t="shared" ref="G66:P66" si="45">G67</f>
        <v>0</v>
      </c>
      <c r="H66" s="73">
        <f t="shared" si="45"/>
        <v>0</v>
      </c>
      <c r="I66" s="73">
        <f t="shared" si="45"/>
        <v>0</v>
      </c>
      <c r="J66" s="73">
        <f t="shared" si="45"/>
        <v>0</v>
      </c>
      <c r="K66" s="73">
        <f t="shared" si="45"/>
        <v>0</v>
      </c>
      <c r="L66" s="73">
        <f t="shared" si="45"/>
        <v>0</v>
      </c>
      <c r="M66" s="73">
        <f t="shared" si="45"/>
        <v>0</v>
      </c>
      <c r="N66" s="73">
        <f t="shared" si="45"/>
        <v>0</v>
      </c>
      <c r="O66" s="73">
        <f t="shared" si="45"/>
        <v>0</v>
      </c>
      <c r="P66" s="73">
        <f t="shared" si="45"/>
        <v>0</v>
      </c>
      <c r="Q66" s="73">
        <f>+Q67+Q68</f>
        <v>0</v>
      </c>
      <c r="R66" s="73">
        <f>SUM(R67:R68)</f>
        <v>0</v>
      </c>
      <c r="S66" s="140">
        <f>S67+S68</f>
        <v>1500000</v>
      </c>
      <c r="T66" s="58"/>
    </row>
    <row r="67" spans="1:20" ht="18.75" hidden="1" customHeight="1" x14ac:dyDescent="0.25">
      <c r="A67" s="39" t="s">
        <v>279</v>
      </c>
      <c r="B67" s="40" t="s">
        <v>280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389"/>
      <c r="Q67" s="389"/>
      <c r="R67" s="68">
        <f>SUM(F67:Q67)</f>
        <v>0</v>
      </c>
      <c r="S67" s="390">
        <f>E67-R67</f>
        <v>0</v>
      </c>
      <c r="T67" s="16"/>
    </row>
    <row r="68" spans="1:20" ht="15.75" customHeight="1" x14ac:dyDescent="0.25">
      <c r="A68" s="39" t="s">
        <v>125</v>
      </c>
      <c r="B68" s="40" t="s">
        <v>126</v>
      </c>
      <c r="C68" s="389"/>
      <c r="D68" s="68">
        <v>1500000</v>
      </c>
      <c r="E68" s="68">
        <f>+C68+D68</f>
        <v>1500000</v>
      </c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85"/>
      <c r="R68" s="68">
        <f>SUM(F68:Q68)</f>
        <v>0</v>
      </c>
      <c r="S68" s="390">
        <f>E68-R68</f>
        <v>1500000</v>
      </c>
      <c r="T68" s="16"/>
    </row>
    <row r="69" spans="1:20" ht="17.25" customHeight="1" x14ac:dyDescent="0.25">
      <c r="A69" s="144">
        <v>2.2999999999999998</v>
      </c>
      <c r="B69" s="145" t="s">
        <v>127</v>
      </c>
      <c r="C69" s="391">
        <f>+C70+C78+C82+C86+C91+C74</f>
        <v>8244280</v>
      </c>
      <c r="D69" s="391">
        <f>+D70+D78+D82+D86+D91+D74+D84</f>
        <v>200000</v>
      </c>
      <c r="E69" s="391">
        <f>+E70+E78+E82+E86+E91+E74+E84</f>
        <v>8444280</v>
      </c>
      <c r="F69" s="391">
        <f t="shared" ref="F69:L69" si="46">+F70+F78+F82+F86+F91+F74</f>
        <v>0</v>
      </c>
      <c r="G69" s="391">
        <f t="shared" si="46"/>
        <v>0</v>
      </c>
      <c r="H69" s="391">
        <f t="shared" si="46"/>
        <v>0</v>
      </c>
      <c r="I69" s="391">
        <f t="shared" si="46"/>
        <v>0</v>
      </c>
      <c r="J69" s="391">
        <f t="shared" si="46"/>
        <v>0</v>
      </c>
      <c r="K69" s="391">
        <f t="shared" si="46"/>
        <v>0</v>
      </c>
      <c r="L69" s="391">
        <f t="shared" si="46"/>
        <v>461941.6</v>
      </c>
      <c r="M69" s="391">
        <f>+M70+M78+M82+M86+M91+M74+M84</f>
        <v>351072.7</v>
      </c>
      <c r="N69" s="391">
        <f t="shared" ref="N69:R69" si="47">+N70+N78+N82+N86+N91+N74+N84</f>
        <v>0</v>
      </c>
      <c r="O69" s="391">
        <f t="shared" si="47"/>
        <v>0</v>
      </c>
      <c r="P69" s="391">
        <f t="shared" si="47"/>
        <v>0</v>
      </c>
      <c r="Q69" s="391">
        <f t="shared" si="47"/>
        <v>0</v>
      </c>
      <c r="R69" s="391">
        <f t="shared" si="47"/>
        <v>813014.29999999993</v>
      </c>
      <c r="S69" s="392">
        <f>+S70+S78+S82+S86+S91+S74+S84</f>
        <v>7631265.7000000002</v>
      </c>
      <c r="T69" s="11"/>
    </row>
    <row r="70" spans="1:20" ht="18" customHeight="1" x14ac:dyDescent="0.25">
      <c r="A70" s="12" t="s">
        <v>128</v>
      </c>
      <c r="B70" s="50" t="s">
        <v>129</v>
      </c>
      <c r="C70" s="73">
        <f>SUM(C71:C73)</f>
        <v>400000</v>
      </c>
      <c r="D70" s="393">
        <f>SUM(D71:D73)</f>
        <v>200000</v>
      </c>
      <c r="E70" s="73">
        <f>SUM(E71:E73)</f>
        <v>600000</v>
      </c>
      <c r="F70" s="73">
        <f t="shared" ref="F70:P70" si="48">SUM(F71)</f>
        <v>0</v>
      </c>
      <c r="G70" s="73">
        <f t="shared" si="48"/>
        <v>0</v>
      </c>
      <c r="H70" s="73">
        <f t="shared" si="48"/>
        <v>0</v>
      </c>
      <c r="I70" s="73">
        <f t="shared" si="48"/>
        <v>0</v>
      </c>
      <c r="J70" s="73">
        <f t="shared" si="48"/>
        <v>0</v>
      </c>
      <c r="K70" s="73">
        <f t="shared" si="48"/>
        <v>0</v>
      </c>
      <c r="L70" s="73">
        <f t="shared" si="48"/>
        <v>199981.6</v>
      </c>
      <c r="M70" s="73">
        <f t="shared" si="48"/>
        <v>199981.6</v>
      </c>
      <c r="N70" s="73">
        <f t="shared" si="48"/>
        <v>0</v>
      </c>
      <c r="O70" s="73">
        <f t="shared" si="48"/>
        <v>0</v>
      </c>
      <c r="P70" s="73">
        <f t="shared" si="48"/>
        <v>0</v>
      </c>
      <c r="Q70" s="73">
        <f>SUM(Q71+Q72)</f>
        <v>0</v>
      </c>
      <c r="R70" s="73">
        <f>+R71+R72</f>
        <v>399963.2</v>
      </c>
      <c r="S70" s="140">
        <f>SUM(S71:S73)</f>
        <v>200036.8</v>
      </c>
      <c r="T70" s="11"/>
    </row>
    <row r="71" spans="1:20" ht="15.75" customHeight="1" x14ac:dyDescent="0.25">
      <c r="A71" s="17" t="s">
        <v>130</v>
      </c>
      <c r="B71" s="18" t="s">
        <v>131</v>
      </c>
      <c r="C71" s="19">
        <v>400000</v>
      </c>
      <c r="D71" s="89">
        <v>200000</v>
      </c>
      <c r="E71" s="41">
        <f>C71+D71</f>
        <v>600000</v>
      </c>
      <c r="F71" s="69"/>
      <c r="G71" s="27"/>
      <c r="H71" s="65"/>
      <c r="I71" s="27"/>
      <c r="J71" s="65"/>
      <c r="K71" s="386"/>
      <c r="L71" s="27">
        <v>199981.6</v>
      </c>
      <c r="M71" s="386">
        <v>199981.6</v>
      </c>
      <c r="N71" s="65"/>
      <c r="O71" s="69"/>
      <c r="P71" s="65"/>
      <c r="Q71" s="69"/>
      <c r="R71" s="19">
        <f>SUM(F71:Q71)</f>
        <v>399963.2</v>
      </c>
      <c r="S71" s="63">
        <f>E71-R71</f>
        <v>200036.8</v>
      </c>
      <c r="T71" s="11"/>
    </row>
    <row r="72" spans="1:20" ht="15.75" hidden="1" customHeight="1" x14ac:dyDescent="0.25">
      <c r="A72" s="17" t="s">
        <v>132</v>
      </c>
      <c r="B72" s="18" t="s">
        <v>133</v>
      </c>
      <c r="C72" s="19"/>
      <c r="D72" s="27">
        <v>0</v>
      </c>
      <c r="E72" s="41">
        <f>C72+D72</f>
        <v>0</v>
      </c>
      <c r="F72" s="69"/>
      <c r="G72" s="27"/>
      <c r="H72" s="65"/>
      <c r="I72" s="27"/>
      <c r="J72" s="65"/>
      <c r="K72" s="386"/>
      <c r="L72" s="27"/>
      <c r="M72" s="65"/>
      <c r="N72" s="65"/>
      <c r="O72" s="69"/>
      <c r="P72" s="65"/>
      <c r="Q72" s="69"/>
      <c r="R72" s="19">
        <f>SUM(F72:Q72)</f>
        <v>0</v>
      </c>
      <c r="S72" s="63">
        <f>E72-R72</f>
        <v>0</v>
      </c>
      <c r="T72" s="11"/>
    </row>
    <row r="73" spans="1:20" ht="15.75" hidden="1" customHeight="1" x14ac:dyDescent="0.25">
      <c r="A73" s="17" t="s">
        <v>134</v>
      </c>
      <c r="B73" s="18" t="s">
        <v>135</v>
      </c>
      <c r="C73" s="19"/>
      <c r="D73" s="27">
        <v>0</v>
      </c>
      <c r="E73" s="41">
        <f>C73+D73</f>
        <v>0</v>
      </c>
      <c r="F73" s="69"/>
      <c r="G73" s="27"/>
      <c r="H73" s="65"/>
      <c r="I73" s="27"/>
      <c r="J73" s="65"/>
      <c r="K73" s="386"/>
      <c r="L73" s="27"/>
      <c r="M73" s="65"/>
      <c r="N73" s="65"/>
      <c r="O73" s="69"/>
      <c r="P73" s="65"/>
      <c r="Q73" s="69"/>
      <c r="R73" s="19">
        <f>SUM(F73:Q73)</f>
        <v>0</v>
      </c>
      <c r="S73" s="63">
        <f>E73-R73</f>
        <v>0</v>
      </c>
      <c r="T73" s="11"/>
    </row>
    <row r="74" spans="1:20" ht="28.5" customHeight="1" x14ac:dyDescent="0.25">
      <c r="A74" s="12" t="s">
        <v>136</v>
      </c>
      <c r="B74" s="50" t="s">
        <v>137</v>
      </c>
      <c r="C74" s="73">
        <f>SUM(C75:C77)</f>
        <v>0</v>
      </c>
      <c r="D74" s="393">
        <f>D76+D75+D77</f>
        <v>20000</v>
      </c>
      <c r="E74" s="51">
        <f>E76+E75+E77</f>
        <v>20000</v>
      </c>
      <c r="F74" s="73">
        <f t="shared" ref="F74:I74" si="49">SUM(F76)</f>
        <v>0</v>
      </c>
      <c r="G74" s="73">
        <f t="shared" si="49"/>
        <v>0</v>
      </c>
      <c r="H74" s="73">
        <f t="shared" si="49"/>
        <v>0</v>
      </c>
      <c r="I74" s="73">
        <f t="shared" si="49"/>
        <v>0</v>
      </c>
      <c r="J74" s="73">
        <f>SUM(J75:J77)</f>
        <v>0</v>
      </c>
      <c r="K74" s="73">
        <f t="shared" ref="K74" si="50">SUM(K75:K77)</f>
        <v>0</v>
      </c>
      <c r="L74" s="73">
        <f>SUM(L75:L77)</f>
        <v>0</v>
      </c>
      <c r="M74" s="73">
        <f t="shared" ref="M74:P74" si="51">SUM(M75:M77)</f>
        <v>0</v>
      </c>
      <c r="N74" s="73">
        <f t="shared" si="51"/>
        <v>0</v>
      </c>
      <c r="O74" s="73">
        <f>SUM(O75:O77)</f>
        <v>0</v>
      </c>
      <c r="P74" s="73">
        <f t="shared" si="51"/>
        <v>0</v>
      </c>
      <c r="Q74" s="73">
        <f>SUM(Q75:Q77)</f>
        <v>0</v>
      </c>
      <c r="R74" s="73">
        <f>SUM(R75:R77)</f>
        <v>0</v>
      </c>
      <c r="S74" s="394">
        <f>+S75+S76+S77</f>
        <v>20000</v>
      </c>
      <c r="T74" s="58"/>
    </row>
    <row r="75" spans="1:20" ht="19.5" customHeight="1" x14ac:dyDescent="0.25">
      <c r="A75" s="17" t="s">
        <v>140</v>
      </c>
      <c r="B75" s="18" t="s">
        <v>141</v>
      </c>
      <c r="C75" s="91"/>
      <c r="D75" s="395">
        <v>20000</v>
      </c>
      <c r="E75" s="91">
        <f>+C75+D75</f>
        <v>20000</v>
      </c>
      <c r="F75" s="92"/>
      <c r="G75" s="92"/>
      <c r="H75" s="92"/>
      <c r="I75" s="92"/>
      <c r="J75" s="91"/>
      <c r="K75" s="92"/>
      <c r="L75" s="92"/>
      <c r="M75" s="91"/>
      <c r="N75" s="92"/>
      <c r="O75" s="92"/>
      <c r="P75" s="396"/>
      <c r="Q75" s="91"/>
      <c r="R75" s="27">
        <f>SUM(F75:Q75)</f>
        <v>0</v>
      </c>
      <c r="S75" s="103">
        <f t="shared" ref="S75:S77" si="52">E75-R75</f>
        <v>20000</v>
      </c>
      <c r="T75" s="58"/>
    </row>
    <row r="76" spans="1:20" ht="21.75" hidden="1" customHeight="1" x14ac:dyDescent="0.25">
      <c r="A76" s="17" t="s">
        <v>142</v>
      </c>
      <c r="B76" s="18" t="s">
        <v>281</v>
      </c>
      <c r="C76" s="27"/>
      <c r="D76" s="27"/>
      <c r="E76" s="383"/>
      <c r="F76" s="69"/>
      <c r="G76" s="27"/>
      <c r="H76" s="27"/>
      <c r="I76" s="27"/>
      <c r="J76" s="65"/>
      <c r="K76" s="65"/>
      <c r="L76" s="27"/>
      <c r="M76" s="65"/>
      <c r="N76" s="386"/>
      <c r="O76" s="27"/>
      <c r="P76" s="65"/>
      <c r="Q76" s="65"/>
      <c r="R76" s="27">
        <f t="shared" ref="R76" si="53">SUM(F76:Q76)</f>
        <v>0</v>
      </c>
      <c r="S76" s="63">
        <f t="shared" si="52"/>
        <v>0</v>
      </c>
      <c r="T76" s="58"/>
    </row>
    <row r="77" spans="1:20" ht="15.75" hidden="1" customHeight="1" x14ac:dyDescent="0.25">
      <c r="A77" s="17" t="s">
        <v>282</v>
      </c>
      <c r="B77" s="18" t="s">
        <v>283</v>
      </c>
      <c r="C77" s="27"/>
      <c r="D77" s="27"/>
      <c r="E77" s="383"/>
      <c r="F77" s="69"/>
      <c r="G77" s="27"/>
      <c r="H77" s="27"/>
      <c r="I77" s="27"/>
      <c r="J77" s="65"/>
      <c r="K77" s="65"/>
      <c r="L77" s="27"/>
      <c r="M77" s="65"/>
      <c r="N77" s="65"/>
      <c r="O77" s="27"/>
      <c r="P77" s="65"/>
      <c r="Q77" s="65"/>
      <c r="R77" s="27">
        <f>SUM(F77:Q77)</f>
        <v>0</v>
      </c>
      <c r="S77" s="63">
        <f t="shared" si="52"/>
        <v>0</v>
      </c>
      <c r="T77" s="58"/>
    </row>
    <row r="78" spans="1:20" ht="18" customHeight="1" x14ac:dyDescent="0.25">
      <c r="A78" s="12" t="s">
        <v>144</v>
      </c>
      <c r="B78" s="50" t="s">
        <v>145</v>
      </c>
      <c r="C78" s="73">
        <f>SUM(C79:C81)</f>
        <v>292000</v>
      </c>
      <c r="D78" s="55">
        <f>SUM(D79:D81)</f>
        <v>-66000</v>
      </c>
      <c r="E78" s="73">
        <f>SUM(E79:E81)</f>
        <v>226000</v>
      </c>
      <c r="F78" s="73">
        <f>SUM(F79:F81)</f>
        <v>0</v>
      </c>
      <c r="G78" s="73">
        <f>SUM(G80:G81)</f>
        <v>0</v>
      </c>
      <c r="H78" s="73">
        <f>SUM(H79:H81)</f>
        <v>0</v>
      </c>
      <c r="I78" s="73">
        <f>SUM(I79:I81)</f>
        <v>0</v>
      </c>
      <c r="J78" s="73">
        <f t="shared" ref="J78" si="54">SUM(J80:J81)</f>
        <v>0</v>
      </c>
      <c r="K78" s="73">
        <f>SUM(K79:K81)</f>
        <v>0</v>
      </c>
      <c r="L78" s="73">
        <f>SUM(L79:L81)</f>
        <v>0</v>
      </c>
      <c r="M78" s="73">
        <f>SUM(M80:M81)</f>
        <v>0</v>
      </c>
      <c r="N78" s="73">
        <f t="shared" ref="N78:R78" si="55">SUM(N79:N81)</f>
        <v>0</v>
      </c>
      <c r="O78" s="73">
        <f t="shared" si="55"/>
        <v>0</v>
      </c>
      <c r="P78" s="73">
        <f t="shared" si="55"/>
        <v>0</v>
      </c>
      <c r="Q78" s="73">
        <f t="shared" si="55"/>
        <v>0</v>
      </c>
      <c r="R78" s="73">
        <f t="shared" si="55"/>
        <v>0</v>
      </c>
      <c r="S78" s="140">
        <f>SUM(S79:S81)</f>
        <v>226000</v>
      </c>
      <c r="T78" s="58"/>
    </row>
    <row r="79" spans="1:20" ht="15.75" customHeight="1" x14ac:dyDescent="0.25">
      <c r="A79" s="17" t="s">
        <v>146</v>
      </c>
      <c r="B79" s="18" t="s">
        <v>147</v>
      </c>
      <c r="C79" s="27">
        <v>200000</v>
      </c>
      <c r="D79" s="397">
        <v>-30000</v>
      </c>
      <c r="E79" s="68">
        <f>+C79+D79</f>
        <v>170000</v>
      </c>
      <c r="F79" s="69"/>
      <c r="G79" s="27"/>
      <c r="H79" s="27"/>
      <c r="I79" s="27"/>
      <c r="J79" s="27"/>
      <c r="K79" s="27"/>
      <c r="L79" s="27"/>
      <c r="M79" s="27"/>
      <c r="N79" s="27"/>
      <c r="O79" s="69"/>
      <c r="P79" s="398"/>
      <c r="Q79" s="27"/>
      <c r="R79" s="19">
        <f>SUM(G79:Q79)</f>
        <v>0</v>
      </c>
      <c r="S79" s="63">
        <f>E79-R79</f>
        <v>170000</v>
      </c>
      <c r="T79" s="58"/>
    </row>
    <row r="80" spans="1:20" ht="15.75" customHeight="1" x14ac:dyDescent="0.25">
      <c r="A80" s="17" t="s">
        <v>148</v>
      </c>
      <c r="B80" s="18" t="s">
        <v>149</v>
      </c>
      <c r="C80" s="27">
        <v>92000</v>
      </c>
      <c r="D80" s="27">
        <v>-36000</v>
      </c>
      <c r="E80" s="68">
        <f t="shared" ref="E80:E81" si="56">C80+D80</f>
        <v>56000</v>
      </c>
      <c r="F80" s="69"/>
      <c r="G80" s="27"/>
      <c r="H80" s="27"/>
      <c r="I80" s="27"/>
      <c r="J80" s="27"/>
      <c r="K80" s="27"/>
      <c r="L80" s="27"/>
      <c r="M80" s="27"/>
      <c r="N80" s="27"/>
      <c r="O80" s="69"/>
      <c r="P80" s="27"/>
      <c r="Q80" s="27"/>
      <c r="R80" s="19">
        <f>SUM(G80:Q80)</f>
        <v>0</v>
      </c>
      <c r="S80" s="63">
        <f>E80-R80</f>
        <v>56000</v>
      </c>
      <c r="T80" s="58"/>
    </row>
    <row r="81" spans="1:20" ht="15.75" customHeight="1" x14ac:dyDescent="0.25">
      <c r="A81" s="17" t="s">
        <v>150</v>
      </c>
      <c r="B81" s="18" t="s">
        <v>151</v>
      </c>
      <c r="C81" s="27">
        <v>0</v>
      </c>
      <c r="D81" s="27"/>
      <c r="E81" s="68">
        <f t="shared" si="56"/>
        <v>0</v>
      </c>
      <c r="F81" s="27"/>
      <c r="G81" s="27"/>
      <c r="H81" s="69"/>
      <c r="I81" s="27"/>
      <c r="J81" s="386"/>
      <c r="K81" s="69"/>
      <c r="L81" s="27"/>
      <c r="M81" s="386"/>
      <c r="N81" s="386"/>
      <c r="O81" s="27"/>
      <c r="P81" s="386"/>
      <c r="Q81" s="27"/>
      <c r="R81" s="27">
        <f>SUM(G81:Q81)</f>
        <v>0</v>
      </c>
      <c r="S81" s="63">
        <f>E81-R81</f>
        <v>0</v>
      </c>
      <c r="T81" s="58"/>
    </row>
    <row r="82" spans="1:20" ht="16.5" customHeight="1" x14ac:dyDescent="0.25">
      <c r="A82" s="12" t="s">
        <v>154</v>
      </c>
      <c r="B82" s="50" t="s">
        <v>155</v>
      </c>
      <c r="C82" s="73">
        <f t="shared" ref="C82:N84" si="57">SUM(C83)</f>
        <v>521600</v>
      </c>
      <c r="D82" s="55">
        <f>SUM(D83)</f>
        <v>0</v>
      </c>
      <c r="E82" s="55">
        <f>SUM(E83)</f>
        <v>521600</v>
      </c>
      <c r="F82" s="55">
        <f t="shared" si="57"/>
        <v>0</v>
      </c>
      <c r="G82" s="73">
        <f t="shared" si="57"/>
        <v>0</v>
      </c>
      <c r="H82" s="55">
        <f t="shared" si="57"/>
        <v>0</v>
      </c>
      <c r="I82" s="73">
        <f t="shared" si="57"/>
        <v>0</v>
      </c>
      <c r="J82" s="73">
        <f t="shared" si="57"/>
        <v>0</v>
      </c>
      <c r="K82" s="55">
        <f t="shared" si="57"/>
        <v>0</v>
      </c>
      <c r="L82" s="73">
        <f t="shared" si="57"/>
        <v>261960</v>
      </c>
      <c r="M82" s="73">
        <f t="shared" si="57"/>
        <v>0</v>
      </c>
      <c r="N82" s="55">
        <f t="shared" si="57"/>
        <v>0</v>
      </c>
      <c r="O82" s="73">
        <f>SUM(O83:O83)</f>
        <v>0</v>
      </c>
      <c r="P82" s="73">
        <f>+P83</f>
        <v>0</v>
      </c>
      <c r="Q82" s="73">
        <f>+Q83</f>
        <v>0</v>
      </c>
      <c r="R82" s="73">
        <f>SUM(R83:R83)</f>
        <v>261960</v>
      </c>
      <c r="S82" s="140">
        <f>+S83</f>
        <v>259640</v>
      </c>
      <c r="T82" s="58"/>
    </row>
    <row r="83" spans="1:20" ht="15.75" customHeight="1" x14ac:dyDescent="0.25">
      <c r="A83" s="17" t="s">
        <v>156</v>
      </c>
      <c r="B83" s="18" t="s">
        <v>157</v>
      </c>
      <c r="C83" s="27">
        <v>521600</v>
      </c>
      <c r="D83" s="27"/>
      <c r="E83" s="68">
        <f>C83+D83</f>
        <v>521600</v>
      </c>
      <c r="F83" s="27"/>
      <c r="G83" s="27"/>
      <c r="H83" s="27"/>
      <c r="I83" s="27"/>
      <c r="J83" s="65"/>
      <c r="K83" s="27"/>
      <c r="L83" s="27">
        <v>261960</v>
      </c>
      <c r="M83" s="65"/>
      <c r="N83" s="27"/>
      <c r="O83" s="27"/>
      <c r="P83" s="146"/>
      <c r="Q83" s="65"/>
      <c r="R83" s="27">
        <f>SUM(G83:Q83)</f>
        <v>261960</v>
      </c>
      <c r="S83" s="71">
        <f>E83-R83</f>
        <v>259640</v>
      </c>
      <c r="T83" s="58"/>
    </row>
    <row r="84" spans="1:20" ht="30" x14ac:dyDescent="0.25">
      <c r="A84" s="12" t="s">
        <v>158</v>
      </c>
      <c r="B84" s="66" t="s">
        <v>409</v>
      </c>
      <c r="C84" s="73"/>
      <c r="D84" s="73">
        <f>+D85</f>
        <v>40000</v>
      </c>
      <c r="E84" s="55">
        <f>+C84+D84</f>
        <v>40000</v>
      </c>
      <c r="F84" s="55">
        <f>SUM(F85)</f>
        <v>0</v>
      </c>
      <c r="G84" s="73">
        <f t="shared" si="57"/>
        <v>0</v>
      </c>
      <c r="H84" s="55">
        <f t="shared" si="57"/>
        <v>0</v>
      </c>
      <c r="I84" s="73">
        <f t="shared" si="57"/>
        <v>0</v>
      </c>
      <c r="J84" s="73">
        <f t="shared" si="57"/>
        <v>0</v>
      </c>
      <c r="K84" s="55">
        <f t="shared" si="57"/>
        <v>0</v>
      </c>
      <c r="L84" s="73">
        <f t="shared" si="57"/>
        <v>0</v>
      </c>
      <c r="M84" s="73">
        <f t="shared" si="57"/>
        <v>24713.919999999998</v>
      </c>
      <c r="N84" s="55">
        <f t="shared" si="57"/>
        <v>0</v>
      </c>
      <c r="O84" s="73">
        <f>SUM(O85:O85)</f>
        <v>0</v>
      </c>
      <c r="P84" s="73">
        <f>+P85</f>
        <v>0</v>
      </c>
      <c r="Q84" s="73">
        <f>+Q85</f>
        <v>0</v>
      </c>
      <c r="R84" s="73">
        <f>SUM(R85:R85)</f>
        <v>24713.919999999998</v>
      </c>
      <c r="S84" s="140">
        <f>+S85</f>
        <v>15286.080000000002</v>
      </c>
      <c r="T84" s="11"/>
    </row>
    <row r="85" spans="1:20" ht="15.75" customHeight="1" x14ac:dyDescent="0.25">
      <c r="A85" s="17" t="s">
        <v>160</v>
      </c>
      <c r="B85" s="80" t="s">
        <v>161</v>
      </c>
      <c r="C85" s="27"/>
      <c r="D85" s="27">
        <v>40000</v>
      </c>
      <c r="E85" s="68">
        <f>+C85+D85</f>
        <v>40000</v>
      </c>
      <c r="F85" s="27"/>
      <c r="G85" s="27"/>
      <c r="H85" s="27"/>
      <c r="I85" s="27"/>
      <c r="J85" s="65"/>
      <c r="K85" s="27"/>
      <c r="L85" s="27"/>
      <c r="M85" s="386">
        <v>24713.919999999998</v>
      </c>
      <c r="N85" s="27"/>
      <c r="O85" s="27"/>
      <c r="P85" s="146"/>
      <c r="Q85" s="65"/>
      <c r="R85" s="27">
        <f>SUM(G85:Q85)</f>
        <v>24713.919999999998</v>
      </c>
      <c r="S85" s="71">
        <f>E85-R85</f>
        <v>15286.080000000002</v>
      </c>
      <c r="T85" s="58"/>
    </row>
    <row r="86" spans="1:20" ht="33.75" customHeight="1" x14ac:dyDescent="0.25">
      <c r="A86" s="12" t="s">
        <v>164</v>
      </c>
      <c r="B86" s="66" t="s">
        <v>165</v>
      </c>
      <c r="C86" s="73">
        <f>SUM(C87:C90)</f>
        <v>6000000</v>
      </c>
      <c r="D86" s="73">
        <f>SUM(D87:D90)</f>
        <v>78000</v>
      </c>
      <c r="E86" s="55">
        <f>SUM(E87:E90)</f>
        <v>6078000</v>
      </c>
      <c r="F86" s="73">
        <f t="shared" ref="F86:P86" si="58">SUM(F87:F88)</f>
        <v>0</v>
      </c>
      <c r="G86" s="73">
        <f t="shared" si="58"/>
        <v>0</v>
      </c>
      <c r="H86" s="73">
        <f t="shared" si="58"/>
        <v>0</v>
      </c>
      <c r="I86" s="73">
        <f>+I87+I88+I90</f>
        <v>0</v>
      </c>
      <c r="J86" s="73">
        <f t="shared" si="58"/>
        <v>0</v>
      </c>
      <c r="K86" s="73">
        <f t="shared" si="58"/>
        <v>0</v>
      </c>
      <c r="L86" s="73">
        <f>SUM(L87:L90)</f>
        <v>0</v>
      </c>
      <c r="M86" s="73">
        <f>SUM(M87:M90)</f>
        <v>0</v>
      </c>
      <c r="N86" s="73">
        <f t="shared" si="58"/>
        <v>0</v>
      </c>
      <c r="O86" s="73">
        <f>SUM(O87:O90)</f>
        <v>0</v>
      </c>
      <c r="P86" s="73">
        <f t="shared" si="58"/>
        <v>0</v>
      </c>
      <c r="Q86" s="73">
        <f>SUM(Q87:Q90)</f>
        <v>0</v>
      </c>
      <c r="R86" s="73">
        <f>SUM(R87:R90)</f>
        <v>0</v>
      </c>
      <c r="S86" s="140">
        <f>SUM(S87:S90)</f>
        <v>6078000</v>
      </c>
      <c r="T86" s="11"/>
    </row>
    <row r="87" spans="1:20" ht="15.75" customHeight="1" x14ac:dyDescent="0.25">
      <c r="A87" s="17" t="s">
        <v>166</v>
      </c>
      <c r="B87" s="18" t="s">
        <v>167</v>
      </c>
      <c r="C87" s="27">
        <v>2000000</v>
      </c>
      <c r="D87" s="20"/>
      <c r="E87" s="20">
        <f>C87+D87</f>
        <v>2000000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398"/>
      <c r="Q87" s="27"/>
      <c r="R87" s="27">
        <f>SUM(G87:Q87)</f>
        <v>0</v>
      </c>
      <c r="S87" s="57">
        <f>E87-R87</f>
        <v>2000000</v>
      </c>
      <c r="T87" s="58"/>
    </row>
    <row r="88" spans="1:20" ht="15.75" customHeight="1" x14ac:dyDescent="0.25">
      <c r="A88" s="17" t="s">
        <v>168</v>
      </c>
      <c r="B88" s="18" t="s">
        <v>169</v>
      </c>
      <c r="C88" s="27">
        <v>4000000</v>
      </c>
      <c r="D88" s="34"/>
      <c r="E88" s="20">
        <f>C88+D88</f>
        <v>4000000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7"/>
      <c r="R88" s="27">
        <f t="shared" ref="R88:R89" si="59">SUM(G88:Q88)</f>
        <v>0</v>
      </c>
      <c r="S88" s="57">
        <f>E88-R88</f>
        <v>4000000</v>
      </c>
      <c r="T88" s="11"/>
    </row>
    <row r="89" spans="1:20" ht="17.25" customHeight="1" x14ac:dyDescent="0.25">
      <c r="A89" s="17" t="s">
        <v>424</v>
      </c>
      <c r="B89" s="80" t="s">
        <v>425</v>
      </c>
      <c r="C89" s="27"/>
      <c r="D89" s="34">
        <v>53000</v>
      </c>
      <c r="E89" s="20">
        <f t="shared" ref="E89:E90" si="60">C89+D89</f>
        <v>53000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27"/>
      <c r="R89" s="27">
        <f t="shared" si="59"/>
        <v>0</v>
      </c>
      <c r="S89" s="57">
        <f>E89-R89</f>
        <v>53000</v>
      </c>
      <c r="T89" s="11"/>
    </row>
    <row r="90" spans="1:20" ht="15.75" customHeight="1" x14ac:dyDescent="0.25">
      <c r="A90" s="17" t="s">
        <v>426</v>
      </c>
      <c r="B90" s="18" t="s">
        <v>284</v>
      </c>
      <c r="C90" s="27">
        <v>0</v>
      </c>
      <c r="D90" s="34">
        <v>25000</v>
      </c>
      <c r="E90" s="20">
        <f t="shared" si="60"/>
        <v>25000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27"/>
      <c r="R90" s="27">
        <f>SUM(G90:Q90)</f>
        <v>0</v>
      </c>
      <c r="S90" s="57">
        <f>E90-R90</f>
        <v>25000</v>
      </c>
      <c r="T90" s="11"/>
    </row>
    <row r="91" spans="1:20" ht="15.75" customHeight="1" x14ac:dyDescent="0.25">
      <c r="A91" s="12" t="s">
        <v>174</v>
      </c>
      <c r="B91" s="66" t="s">
        <v>175</v>
      </c>
      <c r="C91" s="73">
        <f>SUM(C92:C98)</f>
        <v>1030680</v>
      </c>
      <c r="D91" s="55">
        <f>SUM(D92:D98)</f>
        <v>-72000</v>
      </c>
      <c r="E91" s="55">
        <f>SUM(E92:E98)</f>
        <v>958680</v>
      </c>
      <c r="F91" s="73">
        <f>SUM(F92:F98)</f>
        <v>0</v>
      </c>
      <c r="G91" s="73">
        <f>SUM(G92:G97)</f>
        <v>0</v>
      </c>
      <c r="H91" s="73">
        <f t="shared" ref="H91:R91" si="61">SUM(H92:H98)</f>
        <v>0</v>
      </c>
      <c r="I91" s="73">
        <f t="shared" si="61"/>
        <v>0</v>
      </c>
      <c r="J91" s="73">
        <f t="shared" si="61"/>
        <v>0</v>
      </c>
      <c r="K91" s="73">
        <f t="shared" si="61"/>
        <v>0</v>
      </c>
      <c r="L91" s="73">
        <f t="shared" si="61"/>
        <v>0</v>
      </c>
      <c r="M91" s="73">
        <f>SUM(M92:M98)</f>
        <v>126377.18</v>
      </c>
      <c r="N91" s="73">
        <f t="shared" si="61"/>
        <v>0</v>
      </c>
      <c r="O91" s="73">
        <f t="shared" si="61"/>
        <v>0</v>
      </c>
      <c r="P91" s="73">
        <f t="shared" si="61"/>
        <v>0</v>
      </c>
      <c r="Q91" s="73">
        <f t="shared" si="61"/>
        <v>0</v>
      </c>
      <c r="R91" s="73">
        <f t="shared" si="61"/>
        <v>126377.18</v>
      </c>
      <c r="S91" s="140">
        <f>SUM(S92:S98)</f>
        <v>832302.82</v>
      </c>
      <c r="T91" s="11"/>
    </row>
    <row r="92" spans="1:20" ht="22.5" customHeight="1" x14ac:dyDescent="0.25">
      <c r="A92" s="17" t="s">
        <v>176</v>
      </c>
      <c r="B92" s="18" t="s">
        <v>177</v>
      </c>
      <c r="C92" s="27">
        <v>100000</v>
      </c>
      <c r="D92" s="27">
        <v>0</v>
      </c>
      <c r="E92" s="68">
        <f>C92+D92</f>
        <v>100000</v>
      </c>
      <c r="F92" s="62"/>
      <c r="G92" s="62"/>
      <c r="H92" s="62"/>
      <c r="I92" s="62"/>
      <c r="J92" s="19"/>
      <c r="K92" s="62"/>
      <c r="L92" s="62"/>
      <c r="M92" s="19"/>
      <c r="N92" s="28"/>
      <c r="O92" s="19"/>
      <c r="P92" s="95"/>
      <c r="Q92" s="93"/>
      <c r="R92" s="62">
        <f t="shared" ref="R92:R98" si="62">SUM(G92:Q92)</f>
        <v>0</v>
      </c>
      <c r="S92" s="63">
        <f t="shared" ref="S92:S98" si="63">E92-R92</f>
        <v>100000</v>
      </c>
      <c r="T92" s="11"/>
    </row>
    <row r="93" spans="1:20" ht="27" customHeight="1" x14ac:dyDescent="0.25">
      <c r="A93" s="17" t="s">
        <v>180</v>
      </c>
      <c r="B93" s="64" t="s">
        <v>285</v>
      </c>
      <c r="C93" s="19">
        <v>930680</v>
      </c>
      <c r="D93" s="20">
        <v>-102000</v>
      </c>
      <c r="E93" s="68">
        <f t="shared" ref="E93:E97" si="64">C93+D93</f>
        <v>828680</v>
      </c>
      <c r="F93" s="62"/>
      <c r="G93" s="19"/>
      <c r="H93" s="94"/>
      <c r="I93" s="94"/>
      <c r="J93" s="94"/>
      <c r="K93" s="94"/>
      <c r="L93" s="19"/>
      <c r="M93" s="62">
        <v>75213.91</v>
      </c>
      <c r="N93" s="95"/>
      <c r="O93" s="19"/>
      <c r="P93" s="95"/>
      <c r="Q93" s="93"/>
      <c r="R93" s="62">
        <f t="shared" si="62"/>
        <v>75213.91</v>
      </c>
      <c r="S93" s="63">
        <f t="shared" si="63"/>
        <v>753466.09</v>
      </c>
      <c r="T93" s="11"/>
    </row>
    <row r="94" spans="1:20" ht="27.75" hidden="1" customHeight="1" x14ac:dyDescent="0.25">
      <c r="A94" s="17" t="s">
        <v>182</v>
      </c>
      <c r="B94" s="141" t="s">
        <v>286</v>
      </c>
      <c r="C94" s="19"/>
      <c r="D94" s="20"/>
      <c r="E94" s="68">
        <f t="shared" si="64"/>
        <v>0</v>
      </c>
      <c r="F94" s="62"/>
      <c r="G94" s="19"/>
      <c r="H94" s="94"/>
      <c r="I94" s="94"/>
      <c r="J94" s="94"/>
      <c r="K94" s="94"/>
      <c r="L94" s="19"/>
      <c r="M94" s="62"/>
      <c r="N94" s="96"/>
      <c r="O94" s="19"/>
      <c r="P94" s="95"/>
      <c r="Q94" s="93"/>
      <c r="R94" s="62">
        <f t="shared" si="62"/>
        <v>0</v>
      </c>
      <c r="S94" s="63">
        <f t="shared" si="63"/>
        <v>0</v>
      </c>
      <c r="T94" s="11"/>
    </row>
    <row r="95" spans="1:20" ht="15.75" hidden="1" customHeight="1" x14ac:dyDescent="0.25">
      <c r="A95" s="17" t="s">
        <v>186</v>
      </c>
      <c r="B95" s="18" t="s">
        <v>187</v>
      </c>
      <c r="C95" s="19"/>
      <c r="D95" s="20"/>
      <c r="E95" s="68">
        <f t="shared" si="64"/>
        <v>0</v>
      </c>
      <c r="F95" s="62"/>
      <c r="G95" s="62"/>
      <c r="H95" s="399"/>
      <c r="I95" s="399"/>
      <c r="J95" s="94"/>
      <c r="K95" s="399"/>
      <c r="L95" s="19"/>
      <c r="M95" s="19"/>
      <c r="N95" s="28"/>
      <c r="O95" s="62"/>
      <c r="P95" s="19"/>
      <c r="Q95" s="93"/>
      <c r="R95" s="62">
        <f t="shared" si="62"/>
        <v>0</v>
      </c>
      <c r="S95" s="63">
        <f t="shared" si="63"/>
        <v>0</v>
      </c>
      <c r="T95" s="11"/>
    </row>
    <row r="96" spans="1:20" ht="26.25" customHeight="1" x14ac:dyDescent="0.25">
      <c r="A96" s="17" t="s">
        <v>188</v>
      </c>
      <c r="B96" s="18" t="s">
        <v>189</v>
      </c>
      <c r="C96" s="19"/>
      <c r="D96" s="20">
        <v>25000</v>
      </c>
      <c r="E96" s="68">
        <f t="shared" si="64"/>
        <v>25000</v>
      </c>
      <c r="F96" s="62"/>
      <c r="G96" s="62"/>
      <c r="H96" s="62"/>
      <c r="I96" s="19"/>
      <c r="J96" s="62"/>
      <c r="K96" s="62"/>
      <c r="L96" s="62"/>
      <c r="M96" s="28">
        <v>47528.87</v>
      </c>
      <c r="N96" s="93"/>
      <c r="O96" s="19"/>
      <c r="P96" s="93"/>
      <c r="Q96" s="93"/>
      <c r="R96" s="62">
        <f t="shared" si="62"/>
        <v>47528.87</v>
      </c>
      <c r="S96" s="36">
        <f t="shared" si="63"/>
        <v>-22528.870000000003</v>
      </c>
      <c r="T96" s="11"/>
    </row>
    <row r="97" spans="1:20" ht="20.25" customHeight="1" x14ac:dyDescent="0.25">
      <c r="A97" s="17" t="s">
        <v>192</v>
      </c>
      <c r="B97" s="18" t="s">
        <v>193</v>
      </c>
      <c r="C97" s="19"/>
      <c r="D97" s="20">
        <v>5000</v>
      </c>
      <c r="E97" s="68">
        <f t="shared" si="64"/>
        <v>5000</v>
      </c>
      <c r="F97" s="28"/>
      <c r="G97" s="19"/>
      <c r="H97" s="28"/>
      <c r="I97" s="19"/>
      <c r="J97" s="28"/>
      <c r="K97" s="93"/>
      <c r="L97" s="19"/>
      <c r="M97" s="19">
        <v>3634.4</v>
      </c>
      <c r="N97" s="19"/>
      <c r="O97" s="19"/>
      <c r="P97" s="19"/>
      <c r="Q97" s="62"/>
      <c r="R97" s="62">
        <f t="shared" si="62"/>
        <v>3634.4</v>
      </c>
      <c r="S97" s="36">
        <f t="shared" si="63"/>
        <v>1365.6</v>
      </c>
      <c r="T97" s="11"/>
    </row>
    <row r="98" spans="1:20" ht="21" hidden="1" customHeight="1" x14ac:dyDescent="0.25">
      <c r="A98" s="39" t="s">
        <v>196</v>
      </c>
      <c r="B98" s="40" t="s">
        <v>287</v>
      </c>
      <c r="C98" s="41"/>
      <c r="D98" s="20"/>
      <c r="E98" s="68"/>
      <c r="F98" s="68"/>
      <c r="G98" s="54"/>
      <c r="H98" s="41"/>
      <c r="I98" s="41"/>
      <c r="J98" s="54"/>
      <c r="K98" s="54"/>
      <c r="L98" s="41"/>
      <c r="M98" s="54"/>
      <c r="N98" s="54"/>
      <c r="O98" s="41"/>
      <c r="P98" s="54"/>
      <c r="Q98" s="54"/>
      <c r="R98" s="62">
        <f t="shared" si="62"/>
        <v>0</v>
      </c>
      <c r="S98" s="36">
        <f t="shared" si="63"/>
        <v>0</v>
      </c>
      <c r="T98" s="16"/>
    </row>
    <row r="99" spans="1:20" ht="20.25" customHeight="1" x14ac:dyDescent="0.25">
      <c r="A99" s="144">
        <v>2.6</v>
      </c>
      <c r="B99" s="145" t="s">
        <v>205</v>
      </c>
      <c r="C99" s="400">
        <f>+C100+C106+C109+C112</f>
        <v>4240000</v>
      </c>
      <c r="D99" s="400">
        <f>+D100+D114+D116+D104+D118</f>
        <v>2824950</v>
      </c>
      <c r="E99" s="400">
        <f>+E100+E114+E116+E104+E118</f>
        <v>7064950</v>
      </c>
      <c r="F99" s="400">
        <f t="shared" ref="F99:M99" si="65">+F100+F114+F116+F104+F118</f>
        <v>0</v>
      </c>
      <c r="G99" s="400">
        <f t="shared" si="65"/>
        <v>0</v>
      </c>
      <c r="H99" s="400">
        <f t="shared" si="65"/>
        <v>2824950</v>
      </c>
      <c r="I99" s="400">
        <f t="shared" si="65"/>
        <v>0</v>
      </c>
      <c r="J99" s="400">
        <f t="shared" si="65"/>
        <v>0</v>
      </c>
      <c r="K99" s="400">
        <f t="shared" si="65"/>
        <v>0</v>
      </c>
      <c r="L99" s="400">
        <f t="shared" si="65"/>
        <v>0</v>
      </c>
      <c r="M99" s="400">
        <f t="shared" si="65"/>
        <v>2955142.9</v>
      </c>
      <c r="N99" s="400">
        <f t="shared" ref="N99" si="66">+N100+N114+N116+N104+N118</f>
        <v>0</v>
      </c>
      <c r="O99" s="400">
        <f t="shared" ref="O99" si="67">+O100+O114+O116+O104+O118</f>
        <v>0</v>
      </c>
      <c r="P99" s="400">
        <f t="shared" ref="P99" si="68">+P100+P114+P116+P104+P118</f>
        <v>0</v>
      </c>
      <c r="Q99" s="400">
        <f t="shared" ref="Q99" si="69">+Q100+Q114+Q116+Q104+Q118</f>
        <v>0</v>
      </c>
      <c r="R99" s="400">
        <f>+R100+R114+R116+R104+R118</f>
        <v>5780092.8999999994</v>
      </c>
      <c r="S99" s="401">
        <f>+S100+S114+S116+S104+S118</f>
        <v>1284857.1000000001</v>
      </c>
      <c r="T99" s="11"/>
    </row>
    <row r="100" spans="1:20" ht="15" customHeight="1" x14ac:dyDescent="0.25">
      <c r="A100" s="12" t="s">
        <v>206</v>
      </c>
      <c r="B100" s="66" t="s">
        <v>207</v>
      </c>
      <c r="C100" s="73">
        <f>SUM(C101:C103)</f>
        <v>4240000</v>
      </c>
      <c r="D100" s="393">
        <f>SUM(D101:D103)</f>
        <v>-421000</v>
      </c>
      <c r="E100" s="73">
        <f>SUM(E101:E103)</f>
        <v>3819000</v>
      </c>
      <c r="F100" s="73">
        <f>SUM(F101:F103)</f>
        <v>0</v>
      </c>
      <c r="G100" s="73">
        <f t="shared" ref="G100:Q100" si="70">SUM(G101:G103)</f>
        <v>0</v>
      </c>
      <c r="H100" s="73">
        <f t="shared" si="70"/>
        <v>0</v>
      </c>
      <c r="I100" s="73">
        <f t="shared" si="70"/>
        <v>0</v>
      </c>
      <c r="J100" s="73">
        <f t="shared" si="70"/>
        <v>0</v>
      </c>
      <c r="K100" s="73">
        <f t="shared" si="70"/>
        <v>0</v>
      </c>
      <c r="L100" s="73">
        <f t="shared" si="70"/>
        <v>0</v>
      </c>
      <c r="M100" s="73">
        <f t="shared" si="70"/>
        <v>2716532.28</v>
      </c>
      <c r="N100" s="73">
        <f t="shared" si="70"/>
        <v>0</v>
      </c>
      <c r="O100" s="73">
        <f t="shared" si="70"/>
        <v>0</v>
      </c>
      <c r="P100" s="73">
        <f t="shared" si="70"/>
        <v>0</v>
      </c>
      <c r="Q100" s="73">
        <f t="shared" si="70"/>
        <v>0</v>
      </c>
      <c r="R100" s="73">
        <f>SUM(R101:R103)</f>
        <v>2716532.28</v>
      </c>
      <c r="S100" s="140">
        <f>SUM(S101:S103)</f>
        <v>1102467.7200000002</v>
      </c>
      <c r="T100" s="58"/>
    </row>
    <row r="101" spans="1:20" ht="17.25" hidden="1" customHeight="1" x14ac:dyDescent="0.25">
      <c r="A101" s="17"/>
      <c r="B101" s="64"/>
      <c r="C101" s="27">
        <v>0</v>
      </c>
      <c r="D101" s="27"/>
      <c r="E101" s="97">
        <f>C101+D101</f>
        <v>0</v>
      </c>
      <c r="F101" s="69"/>
      <c r="G101" s="27"/>
      <c r="H101" s="65"/>
      <c r="I101" s="27"/>
      <c r="J101" s="65"/>
      <c r="K101" s="65"/>
      <c r="L101" s="27"/>
      <c r="M101" s="65"/>
      <c r="N101" s="65"/>
      <c r="O101" s="69"/>
      <c r="P101" s="65"/>
      <c r="Q101" s="69"/>
      <c r="R101" s="69">
        <f>SUM(G101:Q101)</f>
        <v>0</v>
      </c>
      <c r="S101" s="57">
        <f>E101-R101</f>
        <v>0</v>
      </c>
      <c r="T101" s="58"/>
    </row>
    <row r="102" spans="1:20" ht="32.25" customHeight="1" x14ac:dyDescent="0.25">
      <c r="A102" s="17" t="s">
        <v>210</v>
      </c>
      <c r="B102" s="104" t="s">
        <v>423</v>
      </c>
      <c r="C102" s="27">
        <v>4240000</v>
      </c>
      <c r="D102" s="27">
        <v>-446000</v>
      </c>
      <c r="E102" s="97">
        <f t="shared" ref="E102:E117" si="71">C102+D102</f>
        <v>3794000</v>
      </c>
      <c r="F102" s="27"/>
      <c r="G102" s="65"/>
      <c r="H102" s="65"/>
      <c r="I102" s="27"/>
      <c r="J102" s="65"/>
      <c r="K102" s="65"/>
      <c r="L102" s="27"/>
      <c r="M102" s="386">
        <v>2698360.28</v>
      </c>
      <c r="N102" s="65"/>
      <c r="O102" s="65"/>
      <c r="P102" s="65"/>
      <c r="Q102" s="386"/>
      <c r="R102" s="69">
        <f>SUM(G102:Q102)</f>
        <v>2698360.28</v>
      </c>
      <c r="S102" s="57">
        <f>E102-R102</f>
        <v>1095639.7200000002</v>
      </c>
      <c r="T102" s="58"/>
    </row>
    <row r="103" spans="1:20" ht="18.75" customHeight="1" x14ac:dyDescent="0.25">
      <c r="A103" s="17" t="s">
        <v>288</v>
      </c>
      <c r="B103" s="64" t="s">
        <v>289</v>
      </c>
      <c r="C103" s="27">
        <v>0</v>
      </c>
      <c r="D103" s="27">
        <v>25000</v>
      </c>
      <c r="E103" s="97">
        <f t="shared" si="71"/>
        <v>25000</v>
      </c>
      <c r="F103" s="27"/>
      <c r="G103" s="27"/>
      <c r="H103" s="65"/>
      <c r="I103" s="27"/>
      <c r="J103" s="65"/>
      <c r="K103" s="65"/>
      <c r="L103" s="65"/>
      <c r="M103" s="386">
        <v>18172</v>
      </c>
      <c r="N103" s="65"/>
      <c r="O103" s="65"/>
      <c r="P103" s="386"/>
      <c r="Q103" s="386"/>
      <c r="R103" s="69">
        <f>SUM(G103:Q103)</f>
        <v>18172</v>
      </c>
      <c r="S103" s="57">
        <f>E103-R103</f>
        <v>6828</v>
      </c>
      <c r="T103" s="58"/>
    </row>
    <row r="104" spans="1:20" ht="30" x14ac:dyDescent="0.25">
      <c r="A104" s="12" t="s">
        <v>370</v>
      </c>
      <c r="B104" s="66" t="s">
        <v>371</v>
      </c>
      <c r="C104" s="73"/>
      <c r="D104" s="73">
        <f>+D105</f>
        <v>257000</v>
      </c>
      <c r="E104" s="73">
        <f>+E105</f>
        <v>257000</v>
      </c>
      <c r="F104" s="73">
        <f>+F105</f>
        <v>0</v>
      </c>
      <c r="G104" s="73">
        <f t="shared" ref="G104:Q104" si="72">+G105</f>
        <v>0</v>
      </c>
      <c r="H104" s="73">
        <f t="shared" si="72"/>
        <v>0</v>
      </c>
      <c r="I104" s="73">
        <f t="shared" si="72"/>
        <v>0</v>
      </c>
      <c r="J104" s="73">
        <f t="shared" si="72"/>
        <v>0</v>
      </c>
      <c r="K104" s="73">
        <f t="shared" si="72"/>
        <v>0</v>
      </c>
      <c r="L104" s="73">
        <f t="shared" si="72"/>
        <v>0</v>
      </c>
      <c r="M104" s="73">
        <f t="shared" si="72"/>
        <v>238610.62</v>
      </c>
      <c r="N104" s="73">
        <f t="shared" si="72"/>
        <v>0</v>
      </c>
      <c r="O104" s="73">
        <f t="shared" si="72"/>
        <v>0</v>
      </c>
      <c r="P104" s="73">
        <f t="shared" si="72"/>
        <v>0</v>
      </c>
      <c r="Q104" s="73">
        <f t="shared" si="72"/>
        <v>0</v>
      </c>
      <c r="R104" s="73">
        <f>+R105</f>
        <v>238610.62</v>
      </c>
      <c r="S104" s="140">
        <f>+S105</f>
        <v>18389.380000000005</v>
      </c>
      <c r="T104" s="58"/>
    </row>
    <row r="105" spans="1:20" ht="17.25" customHeight="1" x14ac:dyDescent="0.25">
      <c r="A105" s="17" t="s">
        <v>213</v>
      </c>
      <c r="B105" s="64" t="s">
        <v>410</v>
      </c>
      <c r="C105" s="97">
        <v>0</v>
      </c>
      <c r="D105" s="27">
        <v>257000</v>
      </c>
      <c r="E105" s="97">
        <f t="shared" si="71"/>
        <v>257000</v>
      </c>
      <c r="F105" s="27"/>
      <c r="G105" s="65"/>
      <c r="H105" s="65"/>
      <c r="I105" s="27"/>
      <c r="J105" s="65"/>
      <c r="K105" s="65"/>
      <c r="L105" s="27"/>
      <c r="M105" s="386">
        <v>238610.62</v>
      </c>
      <c r="N105" s="65"/>
      <c r="O105" s="386"/>
      <c r="P105" s="386"/>
      <c r="Q105" s="386"/>
      <c r="R105" s="69">
        <f>SUM(G105:Q105)</f>
        <v>238610.62</v>
      </c>
      <c r="S105" s="57">
        <f>E105-R105</f>
        <v>18389.380000000005</v>
      </c>
      <c r="T105" s="58"/>
    </row>
    <row r="106" spans="1:20" ht="25.5" hidden="1" customHeight="1" x14ac:dyDescent="0.25">
      <c r="A106" s="12" t="s">
        <v>219</v>
      </c>
      <c r="B106" s="66" t="s">
        <v>220</v>
      </c>
      <c r="C106" s="38">
        <f>C108+C107</f>
        <v>0</v>
      </c>
      <c r="D106" s="55">
        <f>SUM(D108+D107)</f>
        <v>0</v>
      </c>
      <c r="E106" s="55">
        <f t="shared" si="71"/>
        <v>0</v>
      </c>
      <c r="F106" s="38">
        <f t="shared" ref="F106" si="73">F108</f>
        <v>0</v>
      </c>
      <c r="G106" s="38"/>
      <c r="H106" s="38"/>
      <c r="I106" s="38"/>
      <c r="J106" s="38"/>
      <c r="K106" s="38"/>
      <c r="L106" s="38">
        <v>0</v>
      </c>
      <c r="M106" s="38"/>
      <c r="N106" s="38"/>
      <c r="O106" s="38">
        <f>+O107+O108</f>
        <v>0</v>
      </c>
      <c r="P106" s="38">
        <f t="shared" ref="P106:Q106" si="74">+P107+P108</f>
        <v>0</v>
      </c>
      <c r="Q106" s="38">
        <f t="shared" si="74"/>
        <v>0</v>
      </c>
      <c r="R106" s="69">
        <f t="shared" ref="R106:R113" si="75">SUM(G106:Q106)</f>
        <v>0</v>
      </c>
      <c r="S106" s="57">
        <f t="shared" ref="S106:S117" si="76">E106-R106</f>
        <v>0</v>
      </c>
      <c r="T106" s="58"/>
    </row>
    <row r="107" spans="1:20" ht="25.5" hidden="1" customHeight="1" x14ac:dyDescent="0.25">
      <c r="A107" s="17" t="s">
        <v>221</v>
      </c>
      <c r="B107" s="64" t="s">
        <v>222</v>
      </c>
      <c r="C107" s="97"/>
      <c r="D107" s="100"/>
      <c r="E107" s="97">
        <f>C107+D107</f>
        <v>0</v>
      </c>
      <c r="F107" s="97"/>
      <c r="G107" s="99"/>
      <c r="H107" s="64"/>
      <c r="I107" s="97"/>
      <c r="J107" s="99"/>
      <c r="K107" s="64"/>
      <c r="L107" s="97"/>
      <c r="M107" s="99"/>
      <c r="N107" s="64"/>
      <c r="O107" s="97"/>
      <c r="P107" s="99"/>
      <c r="Q107" s="64"/>
      <c r="R107" s="69">
        <f t="shared" si="75"/>
        <v>0</v>
      </c>
      <c r="S107" s="57">
        <f t="shared" si="76"/>
        <v>0</v>
      </c>
      <c r="T107" s="11"/>
    </row>
    <row r="108" spans="1:20" ht="22.5" hidden="1" customHeight="1" x14ac:dyDescent="0.25">
      <c r="A108" s="17" t="s">
        <v>291</v>
      </c>
      <c r="B108" s="64" t="s">
        <v>292</v>
      </c>
      <c r="C108" s="97"/>
      <c r="D108" s="20"/>
      <c r="E108" s="97">
        <f t="shared" si="71"/>
        <v>0</v>
      </c>
      <c r="F108" s="69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9">
        <f t="shared" si="75"/>
        <v>0</v>
      </c>
      <c r="S108" s="57">
        <f t="shared" si="76"/>
        <v>0</v>
      </c>
      <c r="T108" s="58"/>
    </row>
    <row r="109" spans="1:20" ht="23.25" hidden="1" customHeight="1" x14ac:dyDescent="0.25">
      <c r="A109" s="12" t="s">
        <v>223</v>
      </c>
      <c r="B109" s="66" t="s">
        <v>293</v>
      </c>
      <c r="C109" s="38">
        <f>C111</f>
        <v>0</v>
      </c>
      <c r="D109" s="55">
        <f>SUM(D111+D110)</f>
        <v>0</v>
      </c>
      <c r="E109" s="97">
        <f t="shared" si="71"/>
        <v>0</v>
      </c>
      <c r="F109" s="38">
        <f t="shared" ref="F109" si="77">F111</f>
        <v>0</v>
      </c>
      <c r="G109" s="38"/>
      <c r="H109" s="38"/>
      <c r="I109" s="38"/>
      <c r="J109" s="38"/>
      <c r="K109" s="38"/>
      <c r="L109" s="38">
        <v>0</v>
      </c>
      <c r="M109" s="38"/>
      <c r="N109" s="38"/>
      <c r="O109" s="38">
        <f>+O110+O111</f>
        <v>0</v>
      </c>
      <c r="P109" s="38">
        <f>+P110+P111</f>
        <v>0</v>
      </c>
      <c r="Q109" s="38">
        <f>+Q110+Q111</f>
        <v>0</v>
      </c>
      <c r="R109" s="69">
        <f t="shared" si="75"/>
        <v>0</v>
      </c>
      <c r="S109" s="57">
        <f t="shared" si="76"/>
        <v>0</v>
      </c>
      <c r="T109" s="58"/>
    </row>
    <row r="110" spans="1:20" ht="22.5" hidden="1" customHeight="1" x14ac:dyDescent="0.25">
      <c r="A110" s="17" t="s">
        <v>294</v>
      </c>
      <c r="B110" s="64" t="s">
        <v>295</v>
      </c>
      <c r="C110" s="97"/>
      <c r="D110" s="100"/>
      <c r="E110" s="97">
        <f t="shared" si="71"/>
        <v>0</v>
      </c>
      <c r="F110" s="97"/>
      <c r="G110" s="99"/>
      <c r="H110" s="64"/>
      <c r="I110" s="97"/>
      <c r="J110" s="99"/>
      <c r="K110" s="64"/>
      <c r="L110" s="97"/>
      <c r="M110" s="99"/>
      <c r="N110" s="64"/>
      <c r="O110" s="97"/>
      <c r="P110" s="100"/>
      <c r="Q110" s="101"/>
      <c r="R110" s="69">
        <f t="shared" si="75"/>
        <v>0</v>
      </c>
      <c r="S110" s="57">
        <f t="shared" si="76"/>
        <v>0</v>
      </c>
      <c r="T110" s="58"/>
    </row>
    <row r="111" spans="1:20" ht="21" hidden="1" customHeight="1" x14ac:dyDescent="0.25">
      <c r="A111" s="17" t="s">
        <v>229</v>
      </c>
      <c r="B111" s="64" t="s">
        <v>296</v>
      </c>
      <c r="C111" s="97"/>
      <c r="D111" s="20"/>
      <c r="E111" s="97">
        <f t="shared" si="71"/>
        <v>0</v>
      </c>
      <c r="F111" s="69"/>
      <c r="G111" s="65"/>
      <c r="H111" s="65"/>
      <c r="I111" s="65"/>
      <c r="J111" s="65"/>
      <c r="K111" s="65"/>
      <c r="L111" s="65"/>
      <c r="M111" s="65"/>
      <c r="N111" s="65"/>
      <c r="O111" s="386"/>
      <c r="P111" s="65"/>
      <c r="Q111" s="65"/>
      <c r="R111" s="69">
        <f t="shared" si="75"/>
        <v>0</v>
      </c>
      <c r="S111" s="57">
        <f t="shared" si="76"/>
        <v>0</v>
      </c>
      <c r="T111" s="58"/>
    </row>
    <row r="112" spans="1:20" ht="30" hidden="1" customHeight="1" x14ac:dyDescent="0.25">
      <c r="A112" s="12" t="s">
        <v>231</v>
      </c>
      <c r="B112" s="147" t="s">
        <v>233</v>
      </c>
      <c r="C112" s="38">
        <f>+C113</f>
        <v>0</v>
      </c>
      <c r="D112" s="55">
        <f>+D113</f>
        <v>0</v>
      </c>
      <c r="E112" s="97">
        <f t="shared" si="71"/>
        <v>0</v>
      </c>
      <c r="F112" s="38">
        <f>+F113</f>
        <v>0</v>
      </c>
      <c r="G112" s="38"/>
      <c r="H112" s="38"/>
      <c r="I112" s="38"/>
      <c r="J112" s="38"/>
      <c r="K112" s="38"/>
      <c r="L112" s="38">
        <v>0</v>
      </c>
      <c r="M112" s="38"/>
      <c r="N112" s="38"/>
      <c r="O112" s="38"/>
      <c r="P112" s="38"/>
      <c r="Q112" s="38"/>
      <c r="R112" s="69">
        <f t="shared" si="75"/>
        <v>0</v>
      </c>
      <c r="S112" s="57">
        <f t="shared" si="76"/>
        <v>0</v>
      </c>
      <c r="T112" s="58"/>
    </row>
    <row r="113" spans="1:26" ht="18.75" hidden="1" customHeight="1" x14ac:dyDescent="0.25">
      <c r="A113" s="17" t="s">
        <v>232</v>
      </c>
      <c r="B113" s="64" t="s">
        <v>233</v>
      </c>
      <c r="C113" s="97">
        <v>0</v>
      </c>
      <c r="D113" s="100"/>
      <c r="E113" s="97">
        <f t="shared" si="71"/>
        <v>0</v>
      </c>
      <c r="F113" s="97"/>
      <c r="G113" s="99"/>
      <c r="H113" s="64"/>
      <c r="I113" s="97"/>
      <c r="J113" s="99"/>
      <c r="K113" s="64"/>
      <c r="L113" s="97"/>
      <c r="M113" s="99"/>
      <c r="N113" s="64"/>
      <c r="O113" s="97"/>
      <c r="P113" s="99"/>
      <c r="Q113" s="64"/>
      <c r="R113" s="69">
        <f t="shared" si="75"/>
        <v>0</v>
      </c>
      <c r="S113" s="57">
        <f t="shared" si="76"/>
        <v>0</v>
      </c>
      <c r="T113" s="58"/>
    </row>
    <row r="114" spans="1:26" ht="26.25" customHeight="1" x14ac:dyDescent="0.25">
      <c r="A114" s="12" t="s">
        <v>219</v>
      </c>
      <c r="B114" s="66" t="s">
        <v>297</v>
      </c>
      <c r="C114" s="148"/>
      <c r="D114" s="149">
        <f>+D115</f>
        <v>2824950</v>
      </c>
      <c r="E114" s="150">
        <f>+E115</f>
        <v>2824950</v>
      </c>
      <c r="F114" s="66"/>
      <c r="G114" s="148"/>
      <c r="H114" s="278">
        <f>+H115</f>
        <v>2824950</v>
      </c>
      <c r="I114" s="148"/>
      <c r="J114" s="66"/>
      <c r="K114" s="148"/>
      <c r="L114" s="66"/>
      <c r="M114" s="151">
        <f>+M115</f>
        <v>0</v>
      </c>
      <c r="N114" s="151">
        <f t="shared" ref="N114:R114" si="78">+N115</f>
        <v>0</v>
      </c>
      <c r="O114" s="151">
        <f t="shared" si="78"/>
        <v>0</v>
      </c>
      <c r="P114" s="151">
        <f t="shared" si="78"/>
        <v>0</v>
      </c>
      <c r="Q114" s="151">
        <f t="shared" si="78"/>
        <v>0</v>
      </c>
      <c r="R114" s="151">
        <f t="shared" si="78"/>
        <v>2824950</v>
      </c>
      <c r="S114" s="152">
        <f>+S115</f>
        <v>0</v>
      </c>
      <c r="T114" s="58"/>
    </row>
    <row r="115" spans="1:26" ht="20.25" customHeight="1" x14ac:dyDescent="0.25">
      <c r="A115" s="17" t="s">
        <v>221</v>
      </c>
      <c r="B115" s="64" t="s">
        <v>298</v>
      </c>
      <c r="C115" s="27">
        <v>0</v>
      </c>
      <c r="D115" s="27">
        <v>2824950</v>
      </c>
      <c r="E115" s="97">
        <f t="shared" si="71"/>
        <v>2824950</v>
      </c>
      <c r="F115" s="27"/>
      <c r="G115" s="27"/>
      <c r="H115" s="386">
        <v>2824950</v>
      </c>
      <c r="I115" s="27"/>
      <c r="J115" s="65"/>
      <c r="K115" s="65"/>
      <c r="L115" s="65"/>
      <c r="M115" s="386"/>
      <c r="N115" s="65"/>
      <c r="O115" s="65"/>
      <c r="P115" s="386"/>
      <c r="Q115" s="386"/>
      <c r="R115" s="69">
        <f>SUM(G115:Q115)</f>
        <v>2824950</v>
      </c>
      <c r="S115" s="57">
        <f>E115-R115</f>
        <v>0</v>
      </c>
      <c r="T115" s="58"/>
    </row>
    <row r="116" spans="1:26" ht="25.5" customHeight="1" x14ac:dyDescent="0.25">
      <c r="A116" s="12" t="s">
        <v>223</v>
      </c>
      <c r="B116" s="66" t="s">
        <v>293</v>
      </c>
      <c r="C116" s="148"/>
      <c r="D116" s="149">
        <f>+D117</f>
        <v>60000</v>
      </c>
      <c r="E116" s="150">
        <f>+E117</f>
        <v>60000</v>
      </c>
      <c r="F116" s="66"/>
      <c r="G116" s="148"/>
      <c r="H116" s="66"/>
      <c r="I116" s="148"/>
      <c r="J116" s="66"/>
      <c r="K116" s="148"/>
      <c r="L116" s="66"/>
      <c r="M116" s="151">
        <f>+M117</f>
        <v>0</v>
      </c>
      <c r="N116" s="151">
        <f t="shared" ref="N116:R116" si="79">+N117</f>
        <v>0</v>
      </c>
      <c r="O116" s="151">
        <f t="shared" si="79"/>
        <v>0</v>
      </c>
      <c r="P116" s="151">
        <f t="shared" si="79"/>
        <v>0</v>
      </c>
      <c r="Q116" s="151">
        <f t="shared" si="79"/>
        <v>0</v>
      </c>
      <c r="R116" s="151">
        <f t="shared" si="79"/>
        <v>0</v>
      </c>
      <c r="S116" s="152">
        <f>+S117</f>
        <v>60000</v>
      </c>
      <c r="T116" s="58"/>
    </row>
    <row r="117" spans="1:26" ht="27" customHeight="1" thickBot="1" x14ac:dyDescent="0.3">
      <c r="A117" s="153" t="s">
        <v>225</v>
      </c>
      <c r="B117" s="104" t="s">
        <v>226</v>
      </c>
      <c r="C117" s="97">
        <v>0</v>
      </c>
      <c r="D117" s="27">
        <v>60000</v>
      </c>
      <c r="E117" s="97">
        <f t="shared" si="71"/>
        <v>60000</v>
      </c>
      <c r="F117" s="27"/>
      <c r="G117" s="65"/>
      <c r="H117" s="65"/>
      <c r="I117" s="27"/>
      <c r="J117" s="65"/>
      <c r="K117" s="65"/>
      <c r="L117" s="27"/>
      <c r="M117" s="386"/>
      <c r="N117" s="65"/>
      <c r="O117" s="386"/>
      <c r="P117" s="386"/>
      <c r="Q117" s="386"/>
      <c r="R117" s="69">
        <f>SUM(G117:Q117)</f>
        <v>0</v>
      </c>
      <c r="S117" s="57">
        <f t="shared" si="76"/>
        <v>60000</v>
      </c>
      <c r="T117" s="58"/>
    </row>
    <row r="118" spans="1:26" ht="15.75" customHeight="1" x14ac:dyDescent="0.25">
      <c r="A118" s="12" t="s">
        <v>391</v>
      </c>
      <c r="B118" s="66" t="s">
        <v>392</v>
      </c>
      <c r="C118" s="402"/>
      <c r="D118" s="403">
        <f>+D119</f>
        <v>104000</v>
      </c>
      <c r="E118" s="403">
        <f>+E119</f>
        <v>104000</v>
      </c>
      <c r="F118" s="402">
        <f t="shared" ref="F118:Q118" si="80">F119</f>
        <v>0</v>
      </c>
      <c r="G118" s="402">
        <f t="shared" si="80"/>
        <v>0</v>
      </c>
      <c r="H118" s="402">
        <f t="shared" si="80"/>
        <v>0</v>
      </c>
      <c r="I118" s="402">
        <f t="shared" si="80"/>
        <v>0</v>
      </c>
      <c r="J118" s="402">
        <f t="shared" si="80"/>
        <v>0</v>
      </c>
      <c r="K118" s="402">
        <f t="shared" si="80"/>
        <v>0</v>
      </c>
      <c r="L118" s="402">
        <f t="shared" si="80"/>
        <v>0</v>
      </c>
      <c r="M118" s="402">
        <f t="shared" si="80"/>
        <v>0</v>
      </c>
      <c r="N118" s="402">
        <f t="shared" si="80"/>
        <v>0</v>
      </c>
      <c r="O118" s="402">
        <f t="shared" si="80"/>
        <v>0</v>
      </c>
      <c r="P118" s="402">
        <f>P119</f>
        <v>0</v>
      </c>
      <c r="Q118" s="402">
        <f t="shared" si="80"/>
        <v>0</v>
      </c>
      <c r="R118" s="402">
        <f t="shared" ref="R118:R119" si="81">SUM(F118:Q118)</f>
        <v>0</v>
      </c>
      <c r="S118" s="404">
        <f>E118-R118</f>
        <v>104000</v>
      </c>
      <c r="T118" s="11"/>
      <c r="U118" s="102"/>
      <c r="V118" s="11"/>
      <c r="W118" s="11"/>
      <c r="X118" s="11"/>
      <c r="Y118" s="11"/>
      <c r="Z118" s="11"/>
    </row>
    <row r="119" spans="1:26" ht="16.5" customHeight="1" x14ac:dyDescent="0.25">
      <c r="A119" s="17" t="s">
        <v>393</v>
      </c>
      <c r="B119" s="64" t="s">
        <v>394</v>
      </c>
      <c r="C119" s="97"/>
      <c r="D119" s="100">
        <v>104000</v>
      </c>
      <c r="E119" s="98">
        <f>+C119+D119</f>
        <v>104000</v>
      </c>
      <c r="F119" s="97"/>
      <c r="G119" s="99"/>
      <c r="H119" s="64"/>
      <c r="I119" s="97"/>
      <c r="J119" s="100"/>
      <c r="K119" s="64"/>
      <c r="L119" s="97"/>
      <c r="M119" s="100"/>
      <c r="N119" s="64"/>
      <c r="O119" s="97"/>
      <c r="P119" s="99"/>
      <c r="Q119" s="101"/>
      <c r="R119" s="97">
        <f t="shared" si="81"/>
        <v>0</v>
      </c>
      <c r="S119" s="103">
        <f t="shared" ref="S119" si="82">E119-R119</f>
        <v>104000</v>
      </c>
      <c r="T119" s="11"/>
      <c r="U119" s="11"/>
      <c r="V119" s="11"/>
      <c r="W119" s="11"/>
      <c r="X119" s="11"/>
      <c r="Y119" s="11"/>
      <c r="Z119" s="11"/>
    </row>
    <row r="120" spans="1:26" ht="21.75" customHeight="1" thickBot="1" x14ac:dyDescent="0.3">
      <c r="A120" s="439" t="s">
        <v>237</v>
      </c>
      <c r="B120" s="440"/>
      <c r="C120" s="405">
        <f t="shared" ref="C120:R120" si="83">C7+C26+C69+C99</f>
        <v>125000000</v>
      </c>
      <c r="D120" s="405">
        <f t="shared" si="83"/>
        <v>7013478.3200000003</v>
      </c>
      <c r="E120" s="405">
        <f t="shared" si="83"/>
        <v>132013478.31999999</v>
      </c>
      <c r="F120" s="405">
        <f t="shared" si="83"/>
        <v>5816570.5099999998</v>
      </c>
      <c r="G120" s="405">
        <f t="shared" si="83"/>
        <v>5442565.4100000001</v>
      </c>
      <c r="H120" s="405">
        <f t="shared" si="83"/>
        <v>9071793.5</v>
      </c>
      <c r="I120" s="405">
        <f t="shared" si="83"/>
        <v>6726264.6799999997</v>
      </c>
      <c r="J120" s="405">
        <f t="shared" si="83"/>
        <v>15168026.760000002</v>
      </c>
      <c r="K120" s="405">
        <f t="shared" si="83"/>
        <v>8709256.2400000002</v>
      </c>
      <c r="L120" s="405">
        <f t="shared" si="83"/>
        <v>7938961.21</v>
      </c>
      <c r="M120" s="405">
        <f t="shared" si="83"/>
        <v>10602065.23</v>
      </c>
      <c r="N120" s="405">
        <f t="shared" si="83"/>
        <v>0</v>
      </c>
      <c r="O120" s="405">
        <f t="shared" si="83"/>
        <v>0</v>
      </c>
      <c r="P120" s="405">
        <f t="shared" si="83"/>
        <v>0</v>
      </c>
      <c r="Q120" s="405">
        <f t="shared" si="83"/>
        <v>0</v>
      </c>
      <c r="R120" s="405">
        <f t="shared" si="83"/>
        <v>69475503.539999992</v>
      </c>
      <c r="S120" s="406">
        <f>S99+S69+S26+S7</f>
        <v>62537974.780000001</v>
      </c>
      <c r="T120" s="11"/>
    </row>
    <row r="121" spans="1:26" ht="21" customHeight="1" x14ac:dyDescent="0.25">
      <c r="A121" s="284">
        <v>2.1</v>
      </c>
      <c r="B121" s="285" t="str">
        <f t="shared" ref="B121:Q121" si="84">+B7</f>
        <v xml:space="preserve">Remuneraciones y Contribuciones </v>
      </c>
      <c r="C121" s="407">
        <f t="shared" si="84"/>
        <v>93031720</v>
      </c>
      <c r="D121" s="408">
        <f t="shared" si="84"/>
        <v>40000</v>
      </c>
      <c r="E121" s="409">
        <f t="shared" si="84"/>
        <v>93071720</v>
      </c>
      <c r="F121" s="410">
        <f t="shared" si="84"/>
        <v>5302999.21</v>
      </c>
      <c r="G121" s="410">
        <f t="shared" si="84"/>
        <v>5300869.16</v>
      </c>
      <c r="H121" s="410">
        <f t="shared" si="84"/>
        <v>5410665.3099999996</v>
      </c>
      <c r="I121" s="410">
        <f t="shared" si="84"/>
        <v>5534309.4399999995</v>
      </c>
      <c r="J121" s="410">
        <f t="shared" si="84"/>
        <v>11997782.880000001</v>
      </c>
      <c r="K121" s="410">
        <f t="shared" si="84"/>
        <v>5509747.04</v>
      </c>
      <c r="L121" s="410">
        <f t="shared" si="84"/>
        <v>5546276.04</v>
      </c>
      <c r="M121" s="410">
        <f t="shared" si="84"/>
        <v>5603921.04</v>
      </c>
      <c r="N121" s="410">
        <f t="shared" si="84"/>
        <v>0</v>
      </c>
      <c r="O121" s="410">
        <f t="shared" si="84"/>
        <v>0</v>
      </c>
      <c r="P121" s="410">
        <f t="shared" si="84"/>
        <v>0</v>
      </c>
      <c r="Q121" s="411">
        <f t="shared" si="84"/>
        <v>0</v>
      </c>
      <c r="R121" s="412">
        <f>R7</f>
        <v>50206570.119999997</v>
      </c>
      <c r="S121" s="413">
        <f>S7</f>
        <v>42865149.880000003</v>
      </c>
    </row>
    <row r="122" spans="1:26" ht="18" customHeight="1" x14ac:dyDescent="0.25">
      <c r="A122" s="286">
        <v>2.2000000000000002</v>
      </c>
      <c r="B122" s="155" t="str">
        <f t="shared" ref="B122:Q122" si="85">+B26</f>
        <v>Contratación de Servicios</v>
      </c>
      <c r="C122" s="414">
        <f t="shared" si="85"/>
        <v>19484000</v>
      </c>
      <c r="D122" s="415">
        <f t="shared" si="85"/>
        <v>3948528.32</v>
      </c>
      <c r="E122" s="416">
        <f t="shared" si="85"/>
        <v>23432528.32</v>
      </c>
      <c r="F122" s="417">
        <f t="shared" si="85"/>
        <v>513571.3</v>
      </c>
      <c r="G122" s="417">
        <f t="shared" si="85"/>
        <v>141696.25</v>
      </c>
      <c r="H122" s="417">
        <f t="shared" si="85"/>
        <v>836178.19</v>
      </c>
      <c r="I122" s="417">
        <f t="shared" si="85"/>
        <v>1191955.2400000002</v>
      </c>
      <c r="J122" s="417">
        <f t="shared" si="85"/>
        <v>3170243.8800000004</v>
      </c>
      <c r="K122" s="417">
        <f t="shared" si="85"/>
        <v>3199509.2</v>
      </c>
      <c r="L122" s="417">
        <f t="shared" si="85"/>
        <v>1930743.57</v>
      </c>
      <c r="M122" s="417">
        <f t="shared" si="85"/>
        <v>1691928.59</v>
      </c>
      <c r="N122" s="417">
        <f t="shared" si="85"/>
        <v>0</v>
      </c>
      <c r="O122" s="417">
        <f t="shared" si="85"/>
        <v>0</v>
      </c>
      <c r="P122" s="417">
        <f t="shared" si="85"/>
        <v>0</v>
      </c>
      <c r="Q122" s="414">
        <f t="shared" si="85"/>
        <v>0</v>
      </c>
      <c r="R122" s="418">
        <f>SUM(F122:Q122)</f>
        <v>12675826.220000003</v>
      </c>
      <c r="S122" s="419">
        <f>S26</f>
        <v>10756702.1</v>
      </c>
    </row>
    <row r="123" spans="1:26" ht="14.25" customHeight="1" x14ac:dyDescent="0.25">
      <c r="A123" s="286">
        <v>2.2999999999999998</v>
      </c>
      <c r="B123" s="155" t="s">
        <v>127</v>
      </c>
      <c r="C123" s="414">
        <f t="shared" ref="C123:Q123" si="86">+C69</f>
        <v>8244280</v>
      </c>
      <c r="D123" s="415">
        <f t="shared" si="86"/>
        <v>200000</v>
      </c>
      <c r="E123" s="416">
        <f t="shared" si="86"/>
        <v>8444280</v>
      </c>
      <c r="F123" s="417">
        <f t="shared" si="86"/>
        <v>0</v>
      </c>
      <c r="G123" s="417">
        <f t="shared" si="86"/>
        <v>0</v>
      </c>
      <c r="H123" s="417">
        <f t="shared" si="86"/>
        <v>0</v>
      </c>
      <c r="I123" s="417">
        <f t="shared" si="86"/>
        <v>0</v>
      </c>
      <c r="J123" s="417">
        <f t="shared" si="86"/>
        <v>0</v>
      </c>
      <c r="K123" s="417">
        <f t="shared" si="86"/>
        <v>0</v>
      </c>
      <c r="L123" s="417">
        <f t="shared" si="86"/>
        <v>461941.6</v>
      </c>
      <c r="M123" s="417">
        <f t="shared" si="86"/>
        <v>351072.7</v>
      </c>
      <c r="N123" s="417">
        <f t="shared" si="86"/>
        <v>0</v>
      </c>
      <c r="O123" s="417">
        <f t="shared" si="86"/>
        <v>0</v>
      </c>
      <c r="P123" s="417">
        <f t="shared" si="86"/>
        <v>0</v>
      </c>
      <c r="Q123" s="414">
        <f t="shared" si="86"/>
        <v>0</v>
      </c>
      <c r="R123" s="418">
        <f t="shared" ref="R123" si="87">SUM(F123:Q123)</f>
        <v>813014.3</v>
      </c>
      <c r="S123" s="419">
        <f>S69</f>
        <v>7631265.7000000002</v>
      </c>
    </row>
    <row r="124" spans="1:26" ht="14.25" customHeight="1" thickBot="1" x14ac:dyDescent="0.3">
      <c r="A124" s="287">
        <v>2.6</v>
      </c>
      <c r="B124" s="288" t="s">
        <v>205</v>
      </c>
      <c r="C124" s="420">
        <f t="shared" ref="C124:Q124" si="88">+C99</f>
        <v>4240000</v>
      </c>
      <c r="D124" s="421">
        <f t="shared" si="88"/>
        <v>2824950</v>
      </c>
      <c r="E124" s="422">
        <f t="shared" si="88"/>
        <v>7064950</v>
      </c>
      <c r="F124" s="423">
        <f t="shared" si="88"/>
        <v>0</v>
      </c>
      <c r="G124" s="423">
        <f t="shared" si="88"/>
        <v>0</v>
      </c>
      <c r="H124" s="423">
        <f t="shared" si="88"/>
        <v>2824950</v>
      </c>
      <c r="I124" s="423">
        <f t="shared" si="88"/>
        <v>0</v>
      </c>
      <c r="J124" s="423">
        <f t="shared" si="88"/>
        <v>0</v>
      </c>
      <c r="K124" s="423">
        <f t="shared" si="88"/>
        <v>0</v>
      </c>
      <c r="L124" s="423">
        <f t="shared" si="88"/>
        <v>0</v>
      </c>
      <c r="M124" s="423">
        <f t="shared" si="88"/>
        <v>2955142.9</v>
      </c>
      <c r="N124" s="423">
        <f t="shared" si="88"/>
        <v>0</v>
      </c>
      <c r="O124" s="423">
        <f t="shared" si="88"/>
        <v>0</v>
      </c>
      <c r="P124" s="423">
        <f t="shared" si="88"/>
        <v>0</v>
      </c>
      <c r="Q124" s="420">
        <f t="shared" si="88"/>
        <v>0</v>
      </c>
      <c r="R124" s="424">
        <f>SUM(F124:Q124)</f>
        <v>5780092.9000000004</v>
      </c>
      <c r="S124" s="425">
        <f>S99</f>
        <v>1284857.1000000001</v>
      </c>
    </row>
    <row r="125" spans="1:26" ht="16.5" customHeight="1" x14ac:dyDescent="0.25">
      <c r="A125" s="156"/>
      <c r="B125" s="372" t="s">
        <v>238</v>
      </c>
      <c r="C125" s="120"/>
      <c r="D125" s="120"/>
      <c r="E125" s="120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80"/>
      <c r="S125" s="80"/>
    </row>
    <row r="126" spans="1:26" ht="10.5" customHeight="1" x14ac:dyDescent="0.25">
      <c r="A126" s="157"/>
      <c r="B126" s="373" t="s">
        <v>239</v>
      </c>
      <c r="C126" s="158"/>
      <c r="D126" s="106"/>
      <c r="E126" s="106"/>
      <c r="F126" s="159"/>
      <c r="G126" s="160"/>
      <c r="H126" s="161"/>
      <c r="I126" s="159"/>
      <c r="J126" s="159"/>
      <c r="K126" s="159"/>
      <c r="L126" s="159"/>
      <c r="M126" s="159"/>
      <c r="N126" s="159"/>
      <c r="O126" s="106"/>
      <c r="P126" s="106"/>
      <c r="Q126" s="106"/>
      <c r="R126" s="80"/>
      <c r="S126" s="80"/>
    </row>
    <row r="127" spans="1:26" ht="21" customHeight="1" x14ac:dyDescent="0.25">
      <c r="A127" s="156"/>
      <c r="B127" s="80"/>
      <c r="C127" s="80"/>
      <c r="D127" s="374"/>
      <c r="E127" s="374"/>
      <c r="F127" s="123"/>
      <c r="G127" s="123"/>
      <c r="H127" s="123"/>
      <c r="I127" s="123"/>
      <c r="J127" s="123"/>
      <c r="K127" s="123"/>
      <c r="L127" s="123"/>
      <c r="M127" s="123"/>
      <c r="N127" s="123"/>
      <c r="O127" s="80"/>
      <c r="P127" s="80"/>
      <c r="Q127" s="80"/>
      <c r="R127" s="80"/>
      <c r="S127" s="80"/>
    </row>
    <row r="128" spans="1:26" ht="15.75" customHeight="1" x14ac:dyDescent="0.25">
      <c r="A128" s="156"/>
      <c r="B128" s="80"/>
      <c r="C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</row>
    <row r="129" spans="1:19" ht="15.75" customHeight="1" x14ac:dyDescent="0.25">
      <c r="A129" s="156"/>
      <c r="B129" s="437" t="s">
        <v>240</v>
      </c>
      <c r="C129" s="437"/>
      <c r="F129" s="11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</row>
    <row r="130" spans="1:19" ht="15.75" customHeight="1" x14ac:dyDescent="0.25">
      <c r="A130" s="156"/>
      <c r="B130" s="438" t="s">
        <v>241</v>
      </c>
      <c r="C130" s="438"/>
      <c r="D130" s="162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</row>
    <row r="131" spans="1:19" ht="15.75" customHeight="1" x14ac:dyDescent="0.25">
      <c r="B131" s="118"/>
    </row>
    <row r="132" spans="1:19" ht="15.75" customHeight="1" x14ac:dyDescent="0.25">
      <c r="B132" s="118"/>
    </row>
    <row r="133" spans="1:19" ht="15.75" customHeight="1" x14ac:dyDescent="0.25">
      <c r="B133" s="118"/>
    </row>
    <row r="134" spans="1:19" ht="15.75" customHeight="1" x14ac:dyDescent="0.25">
      <c r="B134" s="118"/>
    </row>
    <row r="135" spans="1:19" ht="15.75" customHeight="1" x14ac:dyDescent="0.25">
      <c r="B135" s="4"/>
    </row>
    <row r="136" spans="1:19" ht="15.75" customHeight="1" x14ac:dyDescent="0.25">
      <c r="B136" s="118"/>
    </row>
    <row r="140" spans="1:19" ht="15.75" customHeight="1" x14ac:dyDescent="0.25">
      <c r="A140" s="126"/>
    </row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</sheetData>
  <mergeCells count="8">
    <mergeCell ref="B129:C129"/>
    <mergeCell ref="B130:C130"/>
    <mergeCell ref="A120:B120"/>
    <mergeCell ref="A1:Q1"/>
    <mergeCell ref="A2:S2"/>
    <mergeCell ref="A3:S3"/>
    <mergeCell ref="A4:S4"/>
    <mergeCell ref="A5:B5"/>
  </mergeCells>
  <printOptions horizontalCentered="1" verticalCentered="1"/>
  <pageMargins left="0" right="0" top="0" bottom="0" header="0" footer="0"/>
  <pageSetup scale="55" orientation="landscape" r:id="rId1"/>
  <ignoredErrors>
    <ignoredError sqref="R32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E0D0-818E-4B8D-A468-3D1160ACFFD8}">
  <dimension ref="A1:O1069"/>
  <sheetViews>
    <sheetView showGridLines="0" topLeftCell="A39" zoomScale="120" zoomScaleNormal="120" workbookViewId="0">
      <selection activeCell="A56" sqref="A56"/>
    </sheetView>
  </sheetViews>
  <sheetFormatPr baseColWidth="10" defaultColWidth="14.42578125" defaultRowHeight="15.75" customHeight="1" x14ac:dyDescent="0.2"/>
  <cols>
    <col min="1" max="1" width="54.42578125" style="3" customWidth="1"/>
    <col min="2" max="2" width="17.85546875" style="3" customWidth="1"/>
    <col min="3" max="3" width="16.42578125" style="3" customWidth="1"/>
    <col min="4" max="4" width="15.7109375" style="3" customWidth="1"/>
    <col min="5" max="5" width="10.42578125" style="3" customWidth="1"/>
    <col min="6" max="6" width="16.85546875" bestFit="1" customWidth="1"/>
    <col min="7" max="7" width="4" customWidth="1"/>
    <col min="8" max="15" width="10.7109375" customWidth="1"/>
  </cols>
  <sheetData>
    <row r="1" spans="1:7" ht="18.75" customHeight="1" x14ac:dyDescent="0.2"/>
    <row r="7" spans="1:7" ht="21.75" customHeight="1" x14ac:dyDescent="0.35">
      <c r="A7" s="441" t="s">
        <v>0</v>
      </c>
      <c r="B7" s="441"/>
      <c r="C7" s="441"/>
      <c r="D7" s="441"/>
      <c r="E7" s="441"/>
    </row>
    <row r="8" spans="1:7" ht="15.75" customHeight="1" x14ac:dyDescent="0.35">
      <c r="A8" s="441" t="s">
        <v>300</v>
      </c>
      <c r="B8" s="441"/>
      <c r="C8" s="441"/>
      <c r="D8" s="441"/>
      <c r="E8" s="441"/>
    </row>
    <row r="9" spans="1:7" ht="15.75" customHeight="1" x14ac:dyDescent="0.35">
      <c r="A9" s="443" t="s">
        <v>427</v>
      </c>
      <c r="B9" s="443"/>
      <c r="C9" s="443"/>
      <c r="D9" s="443"/>
      <c r="E9" s="443"/>
    </row>
    <row r="10" spans="1:7" ht="21" x14ac:dyDescent="0.35">
      <c r="A10" s="441" t="s">
        <v>1</v>
      </c>
      <c r="B10" s="441"/>
      <c r="C10" s="441"/>
      <c r="D10" s="441"/>
      <c r="E10" s="441"/>
      <c r="F10" s="2"/>
      <c r="G10" s="163"/>
    </row>
    <row r="11" spans="1:7" ht="16.5" customHeight="1" x14ac:dyDescent="0.2">
      <c r="F11" s="2"/>
      <c r="G11" s="163"/>
    </row>
    <row r="12" spans="1:7" ht="24.75" customHeight="1" thickBot="1" x14ac:dyDescent="0.35">
      <c r="A12" s="164" t="s">
        <v>301</v>
      </c>
      <c r="B12" s="11"/>
      <c r="C12" s="11"/>
      <c r="D12" s="444"/>
      <c r="E12" s="444"/>
      <c r="F12" s="163"/>
      <c r="G12" s="163"/>
    </row>
    <row r="13" spans="1:7" ht="40.5" customHeight="1" thickBot="1" x14ac:dyDescent="0.25">
      <c r="A13" s="165" t="s">
        <v>302</v>
      </c>
      <c r="B13" s="166" t="s">
        <v>358</v>
      </c>
      <c r="C13" s="167" t="s">
        <v>18</v>
      </c>
      <c r="D13" s="168" t="s">
        <v>303</v>
      </c>
      <c r="E13" s="169" t="s">
        <v>304</v>
      </c>
      <c r="F13" s="163"/>
    </row>
    <row r="14" spans="1:7" ht="15" customHeight="1" x14ac:dyDescent="0.25">
      <c r="A14" s="170" t="s">
        <v>305</v>
      </c>
      <c r="B14" s="171">
        <f>SUM(B15:B19)</f>
        <v>90018557</v>
      </c>
      <c r="C14" s="171">
        <f>SUM(C15:C19)</f>
        <v>51803490.859999999</v>
      </c>
      <c r="D14" s="172">
        <f>SUM(D15:D19)</f>
        <v>38215066.140000001</v>
      </c>
      <c r="E14" s="270">
        <f>C14/B14</f>
        <v>0.57547568619656941</v>
      </c>
      <c r="F14" s="173"/>
    </row>
    <row r="15" spans="1:7" ht="15" customHeight="1" x14ac:dyDescent="0.25">
      <c r="A15" s="174" t="s">
        <v>306</v>
      </c>
      <c r="B15" s="175">
        <f>+'Ejecución Fondo 100'!E9+'Ejecución Fondo 100'!E10+'Ejecución Fondo 100'!E11+'Ejecución Fondo 100'!E13+'Ejecución Fondo 100'!E14</f>
        <v>72214148</v>
      </c>
      <c r="C15" s="176">
        <f>+'Ejecución Fondo 100'!R9+'Ejecución Fondo 100'!R10+'Ejecución Fondo 100'!R11+'Ejecución Fondo 100'!R13+'Ejecución Fondo 100'!R14</f>
        <v>43348930.310000002</v>
      </c>
      <c r="D15" s="269">
        <f t="shared" ref="D15:D19" si="0">B15-C15</f>
        <v>28865217.689999998</v>
      </c>
      <c r="E15" s="289"/>
      <c r="F15" s="163"/>
    </row>
    <row r="16" spans="1:7" ht="15" customHeight="1" x14ac:dyDescent="0.25">
      <c r="A16" s="174" t="s">
        <v>307</v>
      </c>
      <c r="B16" s="175">
        <f>+'Ejecución Fondo 100'!E12</f>
        <v>5400000</v>
      </c>
      <c r="C16" s="176">
        <f>+'Ejecución Fondo 100'!R12</f>
        <v>0</v>
      </c>
      <c r="D16" s="269">
        <f t="shared" si="0"/>
        <v>5400000</v>
      </c>
      <c r="E16" s="289"/>
      <c r="F16" s="163"/>
    </row>
    <row r="17" spans="1:14" ht="15" customHeight="1" x14ac:dyDescent="0.25">
      <c r="A17" s="174" t="s">
        <v>308</v>
      </c>
      <c r="B17" s="175">
        <f>+'Ejecución Fondo 100'!E15</f>
        <v>2100000</v>
      </c>
      <c r="C17" s="178">
        <f>+'Ejecución Fondo 100'!R17</f>
        <v>1908606.25</v>
      </c>
      <c r="D17" s="269">
        <f t="shared" si="0"/>
        <v>191393.75</v>
      </c>
      <c r="E17" s="289"/>
      <c r="F17" s="163"/>
    </row>
    <row r="18" spans="1:14" ht="15" customHeight="1" x14ac:dyDescent="0.25">
      <c r="A18" s="174" t="s">
        <v>309</v>
      </c>
      <c r="B18" s="175">
        <f>+'Ejecución Fondo 100'!E19</f>
        <v>432000</v>
      </c>
      <c r="C18" s="176">
        <f>+'Ejecución Fondo 100'!R19</f>
        <v>205499.96</v>
      </c>
      <c r="D18" s="269">
        <f t="shared" si="0"/>
        <v>226500.04</v>
      </c>
      <c r="E18" s="289"/>
      <c r="F18" s="163"/>
    </row>
    <row r="19" spans="1:14" ht="15" customHeight="1" x14ac:dyDescent="0.25">
      <c r="A19" s="174" t="s">
        <v>310</v>
      </c>
      <c r="B19" s="175">
        <f>+'Ejecución Fondo 100'!E21</f>
        <v>9872409</v>
      </c>
      <c r="C19" s="176">
        <f>+'Ejecución Fondo 100'!R21</f>
        <v>6340454.3399999999</v>
      </c>
      <c r="D19" s="269">
        <f t="shared" si="0"/>
        <v>3531954.66</v>
      </c>
      <c r="E19" s="289"/>
      <c r="F19" s="163"/>
    </row>
    <row r="20" spans="1:14" ht="15" customHeight="1" x14ac:dyDescent="0.25">
      <c r="A20" s="179" t="s">
        <v>311</v>
      </c>
      <c r="B20" s="180">
        <f>SUM(B21:B28)</f>
        <v>27077820</v>
      </c>
      <c r="C20" s="180">
        <f>SUM(C21:C28)</f>
        <v>11326066.43</v>
      </c>
      <c r="D20" s="181">
        <f>SUM(D21:D28)</f>
        <v>15751753.57</v>
      </c>
      <c r="E20" s="272">
        <f t="shared" ref="E20" si="1">C20/B20</f>
        <v>0.41827837063692719</v>
      </c>
      <c r="F20" s="173"/>
    </row>
    <row r="21" spans="1:14" ht="15" customHeight="1" x14ac:dyDescent="0.25">
      <c r="A21" s="182" t="s">
        <v>312</v>
      </c>
      <c r="B21" s="183">
        <f>+'Ejecución Fondo 100'!E26</f>
        <v>4200000</v>
      </c>
      <c r="C21" s="184">
        <f>+'Ejecución Fondo 100'!R26</f>
        <v>2873805.8000000003</v>
      </c>
      <c r="D21" s="271">
        <f>B21-C21</f>
        <v>1326194.1999999997</v>
      </c>
      <c r="E21" s="289"/>
      <c r="F21" s="163"/>
    </row>
    <row r="22" spans="1:14" ht="15" customHeight="1" x14ac:dyDescent="0.25">
      <c r="A22" s="187" t="s">
        <v>313</v>
      </c>
      <c r="B22" s="183">
        <f>+'Ejecución Fondo 100'!E31</f>
        <v>2357410</v>
      </c>
      <c r="C22" s="184">
        <f>+'Ejecución Fondo 100'!R31</f>
        <v>236956.27000000002</v>
      </c>
      <c r="D22" s="271">
        <f>B22-C22</f>
        <v>2120453.73</v>
      </c>
      <c r="E22" s="289"/>
      <c r="F22" s="163"/>
    </row>
    <row r="23" spans="1:14" ht="15" customHeight="1" x14ac:dyDescent="0.25">
      <c r="A23" s="182" t="s">
        <v>314</v>
      </c>
      <c r="B23" s="183">
        <f>+'Ejecución Fondo 100'!E35</f>
        <v>1184170</v>
      </c>
      <c r="C23" s="184">
        <f>+'Ejecución Fondo 100'!R35</f>
        <v>1174159.5</v>
      </c>
      <c r="D23" s="271">
        <f t="shared" ref="D23:D27" si="2">B23-C23</f>
        <v>10010.5</v>
      </c>
      <c r="E23" s="289"/>
      <c r="F23" s="163"/>
    </row>
    <row r="24" spans="1:14" ht="15" customHeight="1" x14ac:dyDescent="0.25">
      <c r="A24" s="188" t="s">
        <v>315</v>
      </c>
      <c r="B24" s="189">
        <f>+'Ejecución Fondo 100'!E38</f>
        <v>500000</v>
      </c>
      <c r="C24" s="184">
        <f>+'Ejecución Fondo 100'!R38</f>
        <v>0</v>
      </c>
      <c r="D24" s="271">
        <f t="shared" si="2"/>
        <v>500000</v>
      </c>
      <c r="E24" s="289"/>
      <c r="F24" s="191"/>
      <c r="G24" s="192"/>
      <c r="H24" s="192"/>
      <c r="I24" s="192"/>
      <c r="J24" s="192"/>
      <c r="K24" s="192"/>
      <c r="L24" s="192"/>
      <c r="M24" s="192"/>
      <c r="N24" s="192"/>
    </row>
    <row r="25" spans="1:14" ht="15" customHeight="1" x14ac:dyDescent="0.25">
      <c r="A25" s="188" t="s">
        <v>316</v>
      </c>
      <c r="B25" s="189">
        <f>+'Ejecución Fondo 100'!E40</f>
        <v>7906746</v>
      </c>
      <c r="C25" s="190">
        <f>+'Ejecución Fondo 100'!R40</f>
        <v>2135878.87</v>
      </c>
      <c r="D25" s="271">
        <f>B25-C25</f>
        <v>5770867.1299999999</v>
      </c>
      <c r="E25" s="289"/>
      <c r="F25" s="191"/>
      <c r="G25" s="192"/>
      <c r="H25" s="192"/>
      <c r="I25" s="192"/>
      <c r="J25" s="192"/>
      <c r="K25" s="192"/>
      <c r="L25" s="192"/>
      <c r="M25" s="192"/>
      <c r="N25" s="192"/>
    </row>
    <row r="26" spans="1:14" ht="29.25" customHeight="1" x14ac:dyDescent="0.25">
      <c r="A26" s="236" t="s">
        <v>377</v>
      </c>
      <c r="B26" s="189">
        <f>+'Ejecución Fondo 100'!E45</f>
        <v>2787250</v>
      </c>
      <c r="C26" s="190">
        <f>+'Ejecución Fondo 100'!R45</f>
        <v>1707399.1900000002</v>
      </c>
      <c r="D26" s="348">
        <f>B26-C26</f>
        <v>1079850.8099999998</v>
      </c>
      <c r="E26" s="289"/>
      <c r="F26" s="191"/>
      <c r="G26" s="192"/>
      <c r="H26" s="274"/>
      <c r="I26" s="192"/>
      <c r="J26" s="192"/>
      <c r="K26" s="192"/>
      <c r="L26" s="192"/>
      <c r="M26" s="192"/>
      <c r="N26" s="192"/>
    </row>
    <row r="27" spans="1:14" ht="15" customHeight="1" x14ac:dyDescent="0.25">
      <c r="A27" s="193" t="s">
        <v>317</v>
      </c>
      <c r="B27" s="189">
        <f>+'Ejecución Fondo 100'!E54</f>
        <v>6437244</v>
      </c>
      <c r="C27" s="190">
        <f>+'Ejecución Fondo 100'!R54</f>
        <v>1710111</v>
      </c>
      <c r="D27" s="271">
        <f t="shared" si="2"/>
        <v>4727133</v>
      </c>
      <c r="E27" s="289"/>
      <c r="F27" s="191"/>
      <c r="G27" s="192"/>
      <c r="H27" s="275"/>
      <c r="I27" s="192"/>
      <c r="J27" s="192"/>
      <c r="K27" s="192"/>
      <c r="L27" s="192"/>
      <c r="M27" s="192"/>
      <c r="N27" s="192"/>
    </row>
    <row r="28" spans="1:14" ht="15" customHeight="1" x14ac:dyDescent="0.25">
      <c r="A28" s="188" t="s">
        <v>318</v>
      </c>
      <c r="B28" s="189">
        <f>+'Ejecución Fondo 100'!E64</f>
        <v>1705000</v>
      </c>
      <c r="C28" s="190">
        <f>+'Ejecución Fondo 100'!R64</f>
        <v>1487755.7999999998</v>
      </c>
      <c r="D28" s="271">
        <f>B28-C28</f>
        <v>217244.20000000019</v>
      </c>
      <c r="E28" s="289"/>
      <c r="F28" s="191"/>
      <c r="G28" s="192"/>
      <c r="H28" s="192"/>
      <c r="I28" s="192"/>
      <c r="J28" s="192"/>
      <c r="K28" s="192"/>
      <c r="L28" s="192"/>
      <c r="M28" s="192"/>
      <c r="N28" s="192"/>
    </row>
    <row r="29" spans="1:14" ht="15" customHeight="1" x14ac:dyDescent="0.25">
      <c r="A29" s="179" t="s">
        <v>319</v>
      </c>
      <c r="B29" s="194">
        <f>SUM(B30:B36)</f>
        <v>18131769.02</v>
      </c>
      <c r="C29" s="194">
        <f>SUM(C30:C36)</f>
        <v>10678159.41</v>
      </c>
      <c r="D29" s="195">
        <f>SUM(D30:D36)</f>
        <v>7453609.6099999994</v>
      </c>
      <c r="E29" s="273">
        <f>C29/B29</f>
        <v>0.58891988962696373</v>
      </c>
      <c r="F29" s="163"/>
    </row>
    <row r="30" spans="1:14" ht="15" customHeight="1" x14ac:dyDescent="0.25">
      <c r="A30" s="182" t="s">
        <v>320</v>
      </c>
      <c r="B30" s="183">
        <f>+'Ejecución Fondo 100'!E68</f>
        <v>1669405</v>
      </c>
      <c r="C30" s="183">
        <f>+'Ejecución Fondo 100'!R68</f>
        <v>945842.46</v>
      </c>
      <c r="D30" s="185">
        <f>B30-C30</f>
        <v>723562.54</v>
      </c>
      <c r="E30" s="186"/>
      <c r="F30" s="163"/>
      <c r="H30" s="197"/>
    </row>
    <row r="31" spans="1:14" ht="15" customHeight="1" x14ac:dyDescent="0.25">
      <c r="A31" s="182" t="s">
        <v>321</v>
      </c>
      <c r="B31" s="183">
        <f>+'Ejecución Fondo 100'!E71</f>
        <v>661630</v>
      </c>
      <c r="C31" s="183">
        <f>+'Ejecución Fondo 100'!R71</f>
        <v>353485.51999999996</v>
      </c>
      <c r="D31" s="185">
        <f>B31-C31</f>
        <v>308144.48000000004</v>
      </c>
      <c r="E31" s="186"/>
      <c r="F31" s="163"/>
    </row>
    <row r="32" spans="1:14" ht="15" customHeight="1" x14ac:dyDescent="0.25">
      <c r="A32" s="182" t="s">
        <v>322</v>
      </c>
      <c r="B32" s="183">
        <f>+'Ejecución Fondo 100'!E75</f>
        <v>1516635</v>
      </c>
      <c r="C32" s="183">
        <f>+'Ejecución Fondo 100'!R75</f>
        <v>486791.6</v>
      </c>
      <c r="D32" s="185">
        <f t="shared" ref="D32:D36" si="3">B32-C32</f>
        <v>1029843.4</v>
      </c>
      <c r="E32" s="186"/>
      <c r="F32" s="163"/>
    </row>
    <row r="33" spans="1:15" ht="15" customHeight="1" x14ac:dyDescent="0.25">
      <c r="A33" s="182" t="s">
        <v>349</v>
      </c>
      <c r="B33" s="183">
        <f>+'Ejecución Fondo 100'!E80</f>
        <v>157250</v>
      </c>
      <c r="C33" s="183">
        <f>+'Ejecución Fondo 100'!R80</f>
        <v>90860</v>
      </c>
      <c r="D33" s="185">
        <f t="shared" si="3"/>
        <v>66390</v>
      </c>
      <c r="E33" s="186"/>
      <c r="F33" s="163"/>
    </row>
    <row r="34" spans="1:15" ht="15" customHeight="1" x14ac:dyDescent="0.25">
      <c r="A34" s="182" t="s">
        <v>323</v>
      </c>
      <c r="B34" s="183">
        <f>+'Ejecución Fondo 100'!E82</f>
        <v>201060</v>
      </c>
      <c r="C34" s="183">
        <f>+'Ejecución Fondo 100'!R82</f>
        <v>54222.99</v>
      </c>
      <c r="D34" s="185">
        <f t="shared" si="3"/>
        <v>146837.01</v>
      </c>
      <c r="E34" s="186"/>
      <c r="F34" s="163"/>
    </row>
    <row r="35" spans="1:15" ht="15" customHeight="1" x14ac:dyDescent="0.25">
      <c r="A35" s="182" t="s">
        <v>324</v>
      </c>
      <c r="B35" s="183">
        <f>+'Ejecución Fondo 100'!E86</f>
        <v>6835492</v>
      </c>
      <c r="C35" s="183">
        <f>+'Ejecución Fondo 100'!R86</f>
        <v>5455163.4799999995</v>
      </c>
      <c r="D35" s="185">
        <f>B35-C35</f>
        <v>1380328.5200000005</v>
      </c>
      <c r="E35" s="186"/>
      <c r="F35" s="163"/>
    </row>
    <row r="36" spans="1:15" ht="15" customHeight="1" x14ac:dyDescent="0.25">
      <c r="A36" s="182" t="s">
        <v>325</v>
      </c>
      <c r="B36" s="183">
        <f>+'Ejecución Fondo 100'!E92</f>
        <v>7090297.0199999996</v>
      </c>
      <c r="C36" s="183">
        <f>+'Ejecución Fondo 100'!R92</f>
        <v>3291793.36</v>
      </c>
      <c r="D36" s="185">
        <f t="shared" si="3"/>
        <v>3798503.6599999997</v>
      </c>
      <c r="E36" s="186"/>
      <c r="F36" s="163"/>
    </row>
    <row r="37" spans="1:15" ht="15" customHeight="1" x14ac:dyDescent="0.25">
      <c r="A37" s="179" t="s">
        <v>326</v>
      </c>
      <c r="B37" s="194">
        <v>0</v>
      </c>
      <c r="C37" s="194">
        <f>+C38</f>
        <v>0</v>
      </c>
      <c r="D37" s="194">
        <f>+D38</f>
        <v>0</v>
      </c>
      <c r="E37" s="196"/>
      <c r="F37" s="163"/>
    </row>
    <row r="38" spans="1:15" ht="15" customHeight="1" x14ac:dyDescent="0.25">
      <c r="A38" s="198" t="s">
        <v>327</v>
      </c>
      <c r="B38" s="183">
        <f>+'Ejecución Fondo 100'!E107</f>
        <v>0</v>
      </c>
      <c r="C38" s="183"/>
      <c r="D38" s="185">
        <f>+B38-C38</f>
        <v>0</v>
      </c>
      <c r="E38" s="177"/>
      <c r="F38" s="163"/>
    </row>
    <row r="39" spans="1:15" ht="21" customHeight="1" x14ac:dyDescent="0.25">
      <c r="A39" s="199" t="s">
        <v>328</v>
      </c>
      <c r="B39" s="200">
        <f>SUM(B40:B47)</f>
        <v>9290640</v>
      </c>
      <c r="C39" s="201">
        <f>SUM(C40:C47)</f>
        <v>4701403.4000000004</v>
      </c>
      <c r="D39" s="200">
        <f>SUM(D40:D47)</f>
        <v>4589236.5999999996</v>
      </c>
      <c r="E39" s="202">
        <f>C39/B39</f>
        <v>0.50603654861236691</v>
      </c>
      <c r="F39" s="163"/>
    </row>
    <row r="40" spans="1:15" ht="15" x14ac:dyDescent="0.25">
      <c r="A40" s="203" t="s">
        <v>329</v>
      </c>
      <c r="B40" s="20">
        <f>+'Ejecución Fondo 100'!E110</f>
        <v>2986274</v>
      </c>
      <c r="C40" s="20">
        <f>+'Ejecución Fondo 100'!R110</f>
        <v>1945139</v>
      </c>
      <c r="D40" s="204">
        <f>+B40-C40</f>
        <v>1041135</v>
      </c>
      <c r="E40" s="205"/>
      <c r="F40" s="191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5" ht="30" x14ac:dyDescent="0.25">
      <c r="A41" s="206" t="s">
        <v>376</v>
      </c>
      <c r="B41" s="20">
        <f>+'Ejecución Fondo 100'!E115</f>
        <v>290960</v>
      </c>
      <c r="C41" s="20">
        <f>+'Ejecución Fondo 100'!R115</f>
        <v>0</v>
      </c>
      <c r="D41" s="266">
        <f>+B41-C41</f>
        <v>290960</v>
      </c>
      <c r="E41" s="210"/>
      <c r="F41" s="191"/>
      <c r="G41" s="192"/>
      <c r="H41" s="192"/>
      <c r="I41" s="192"/>
      <c r="J41" s="192"/>
      <c r="K41" s="192"/>
      <c r="L41" s="192"/>
      <c r="M41" s="192"/>
      <c r="N41" s="192"/>
      <c r="O41" s="192"/>
    </row>
    <row r="42" spans="1:15" ht="15" x14ac:dyDescent="0.25">
      <c r="A42" s="206" t="s">
        <v>330</v>
      </c>
      <c r="B42" s="20">
        <f>+'Ejecución Fondo 100'!E118</f>
        <v>112300</v>
      </c>
      <c r="C42" s="20">
        <f>+'Ejecución Fondo 100'!R118</f>
        <v>87907.64</v>
      </c>
      <c r="D42" s="207">
        <f>+B42-C42</f>
        <v>24392.36</v>
      </c>
      <c r="E42" s="210"/>
      <c r="F42" s="191"/>
      <c r="G42" s="192"/>
      <c r="H42" s="192"/>
      <c r="I42" s="192"/>
      <c r="J42" s="192"/>
      <c r="K42" s="192"/>
      <c r="L42" s="192"/>
      <c r="M42" s="192"/>
      <c r="N42" s="192"/>
      <c r="O42" s="192"/>
    </row>
    <row r="43" spans="1:15" ht="17.25" customHeight="1" x14ac:dyDescent="0.25">
      <c r="A43" s="208" t="s">
        <v>401</v>
      </c>
      <c r="B43" s="20">
        <f>+'Ejecución Fondo 100'!E121</f>
        <v>160000</v>
      </c>
      <c r="C43" s="20">
        <f>+'Ejecución Fondo 100'!R121</f>
        <v>155760</v>
      </c>
      <c r="D43" s="207">
        <f>+B43-C43</f>
        <v>4240</v>
      </c>
      <c r="E43" s="210"/>
      <c r="F43" s="191"/>
      <c r="G43" s="192"/>
      <c r="H43" s="192"/>
      <c r="I43" s="192"/>
      <c r="J43" s="192"/>
      <c r="K43" s="192"/>
      <c r="L43" s="192"/>
      <c r="M43" s="192"/>
      <c r="N43" s="192"/>
      <c r="O43" s="192"/>
    </row>
    <row r="44" spans="1:15" ht="15" x14ac:dyDescent="0.25">
      <c r="A44" s="208" t="s">
        <v>331</v>
      </c>
      <c r="B44" s="20">
        <f>+'Ejecución Fondo 100'!E123</f>
        <v>1360100</v>
      </c>
      <c r="C44" s="20">
        <f>+'Ejecución Fondo 100'!R123</f>
        <v>926162.41</v>
      </c>
      <c r="D44" s="209">
        <f t="shared" ref="D44:D46" si="4">+B44-C44</f>
        <v>433937.58999999997</v>
      </c>
      <c r="E44" s="210"/>
      <c r="F44" s="191"/>
      <c r="G44" s="192"/>
      <c r="H44" s="192"/>
      <c r="I44" s="192"/>
      <c r="J44" s="192"/>
      <c r="K44" s="192"/>
      <c r="L44" s="192"/>
      <c r="M44" s="192"/>
      <c r="N44" s="192"/>
      <c r="O44" s="192"/>
    </row>
    <row r="45" spans="1:15" ht="15" x14ac:dyDescent="0.25">
      <c r="A45" s="208" t="s">
        <v>402</v>
      </c>
      <c r="B45" s="20">
        <f>+'Ejecución Fondo 100'!E132</f>
        <v>210000</v>
      </c>
      <c r="C45" s="20">
        <f>+'Ejecución Fondo 100'!R132</f>
        <v>177039.12</v>
      </c>
      <c r="D45" s="209">
        <f t="shared" si="4"/>
        <v>32960.880000000005</v>
      </c>
      <c r="E45" s="212"/>
      <c r="F45" s="191"/>
      <c r="G45" s="192"/>
      <c r="H45" s="192"/>
      <c r="I45" s="192"/>
      <c r="J45" s="192"/>
      <c r="K45" s="192"/>
      <c r="L45" s="192"/>
      <c r="M45" s="192"/>
      <c r="N45" s="192"/>
      <c r="O45" s="192"/>
    </row>
    <row r="46" spans="1:15" ht="15" x14ac:dyDescent="0.25">
      <c r="A46" s="208" t="s">
        <v>403</v>
      </c>
      <c r="B46" s="20">
        <f>+'Ejecución Fondo 100'!E134</f>
        <v>2610000</v>
      </c>
      <c r="C46" s="20">
        <f>+'Ejecución Fondo 100'!R134</f>
        <v>0</v>
      </c>
      <c r="D46" s="209">
        <f t="shared" si="4"/>
        <v>2610000</v>
      </c>
      <c r="E46" s="212"/>
      <c r="F46" s="191"/>
      <c r="G46" s="192"/>
      <c r="H46" s="192"/>
      <c r="I46" s="192"/>
      <c r="J46" s="192"/>
      <c r="K46" s="192"/>
      <c r="L46" s="192"/>
      <c r="M46" s="192"/>
      <c r="N46" s="192"/>
      <c r="O46" s="192"/>
    </row>
    <row r="47" spans="1:15" ht="15" x14ac:dyDescent="0.25">
      <c r="A47" s="290" t="s">
        <v>332</v>
      </c>
      <c r="B47" s="20">
        <f>+'Ejecución Fondo 100'!E136</f>
        <v>1561006</v>
      </c>
      <c r="C47" s="211">
        <f>+'Ejecución Fondo 100'!R136</f>
        <v>1409395.23</v>
      </c>
      <c r="D47" s="209">
        <f>+B47-C47</f>
        <v>151610.77000000002</v>
      </c>
      <c r="E47" s="212"/>
      <c r="F47" s="191"/>
      <c r="G47" s="192"/>
      <c r="H47" s="192"/>
      <c r="I47" s="192"/>
      <c r="J47" s="192"/>
      <c r="K47" s="192"/>
      <c r="L47" s="192"/>
      <c r="M47" s="192"/>
      <c r="N47" s="192"/>
      <c r="O47" s="192"/>
    </row>
    <row r="48" spans="1:15" ht="21" customHeight="1" thickBot="1" x14ac:dyDescent="0.3">
      <c r="A48" s="213" t="s">
        <v>333</v>
      </c>
      <c r="B48" s="214">
        <f>B14+B20+B29+B39+B37</f>
        <v>144518786.02000001</v>
      </c>
      <c r="C48" s="214">
        <f>C14+C20+C29+C39+C37</f>
        <v>78509120.100000009</v>
      </c>
      <c r="D48" s="215">
        <f>D14+D20+D29+D39+D37</f>
        <v>66009665.920000002</v>
      </c>
      <c r="E48" s="216">
        <f>C48/B48</f>
        <v>0.5432450843389669</v>
      </c>
      <c r="F48" s="173"/>
    </row>
    <row r="49" spans="1:7" ht="12" customHeight="1" x14ac:dyDescent="0.25">
      <c r="A49" s="217" t="s">
        <v>238</v>
      </c>
      <c r="B49" s="11"/>
      <c r="C49" s="11"/>
      <c r="D49" s="218"/>
      <c r="E49" s="218"/>
      <c r="F49" s="219"/>
      <c r="G49" s="163"/>
    </row>
    <row r="50" spans="1:7" ht="12" customHeight="1" x14ac:dyDescent="0.25">
      <c r="A50" s="220" t="s">
        <v>239</v>
      </c>
      <c r="B50" s="11"/>
      <c r="C50" s="11"/>
      <c r="D50" s="218"/>
      <c r="E50" s="218"/>
      <c r="F50" s="219"/>
      <c r="G50" s="163"/>
    </row>
    <row r="51" spans="1:7" ht="12" customHeight="1" x14ac:dyDescent="0.25">
      <c r="A51" s="220"/>
      <c r="B51" s="11"/>
      <c r="C51" s="11"/>
      <c r="D51" s="218"/>
      <c r="E51" s="218"/>
      <c r="F51" s="219"/>
      <c r="G51" s="163"/>
    </row>
    <row r="52" spans="1:7" ht="12" customHeight="1" x14ac:dyDescent="0.25">
      <c r="A52" s="220"/>
      <c r="B52" s="11"/>
      <c r="C52" s="11"/>
      <c r="D52" s="218"/>
      <c r="E52" s="218"/>
      <c r="F52" s="219"/>
      <c r="G52" s="163"/>
    </row>
    <row r="53" spans="1:7" ht="15" customHeight="1" x14ac:dyDescent="0.25">
      <c r="A53" s="58" t="s">
        <v>334</v>
      </c>
      <c r="B53" s="11"/>
      <c r="C53" s="11"/>
      <c r="D53" s="218"/>
      <c r="E53" s="218"/>
      <c r="F53" s="219"/>
      <c r="G53" s="163"/>
    </row>
    <row r="54" spans="1:7" ht="15" customHeight="1" x14ac:dyDescent="0.25">
      <c r="A54" s="58" t="s">
        <v>335</v>
      </c>
      <c r="B54" s="375"/>
      <c r="C54" s="11"/>
      <c r="D54" s="218"/>
      <c r="E54" s="218"/>
      <c r="F54" s="219"/>
      <c r="G54" s="163"/>
    </row>
    <row r="55" spans="1:7" ht="15" customHeight="1" x14ac:dyDescent="0.25">
      <c r="B55" s="375"/>
      <c r="C55" s="11"/>
      <c r="D55" s="218"/>
      <c r="E55" s="218"/>
      <c r="F55" s="219"/>
      <c r="G55" s="163"/>
    </row>
    <row r="56" spans="1:7" ht="15" customHeight="1" x14ac:dyDescent="0.25">
      <c r="C56" s="11"/>
      <c r="D56" s="218"/>
      <c r="E56" s="218"/>
      <c r="F56" s="219"/>
      <c r="G56" s="163"/>
    </row>
    <row r="57" spans="1:7" ht="15" customHeight="1" x14ac:dyDescent="0.25">
      <c r="C57" s="11"/>
      <c r="D57" s="218"/>
      <c r="E57" s="218"/>
      <c r="F57" s="219"/>
      <c r="G57" s="163"/>
    </row>
    <row r="58" spans="1:7" ht="15" customHeight="1" x14ac:dyDescent="0.25">
      <c r="C58" s="11"/>
      <c r="D58" s="218"/>
      <c r="E58" s="218"/>
      <c r="F58" s="219"/>
      <c r="G58" s="163"/>
    </row>
    <row r="59" spans="1:7" ht="15" customHeight="1" x14ac:dyDescent="0.25">
      <c r="A59" s="11"/>
      <c r="B59" s="11"/>
      <c r="C59" s="11"/>
      <c r="D59" s="218"/>
      <c r="E59" s="218"/>
      <c r="F59" s="219"/>
      <c r="G59" s="163"/>
    </row>
    <row r="60" spans="1:7" ht="18" customHeight="1" x14ac:dyDescent="0.2">
      <c r="F60" s="219"/>
      <c r="G60" s="163"/>
    </row>
    <row r="61" spans="1:7" ht="15" customHeight="1" x14ac:dyDescent="0.2">
      <c r="F61" s="219"/>
      <c r="G61" s="163"/>
    </row>
    <row r="62" spans="1:7" ht="15" customHeight="1" x14ac:dyDescent="0.2">
      <c r="F62" s="219"/>
      <c r="G62" s="163"/>
    </row>
    <row r="63" spans="1:7" ht="15" customHeight="1" x14ac:dyDescent="0.2">
      <c r="F63" s="219"/>
      <c r="G63" s="163"/>
    </row>
    <row r="64" spans="1:7" ht="18" customHeight="1" x14ac:dyDescent="0.2">
      <c r="F64" s="219"/>
      <c r="G64" s="163"/>
    </row>
    <row r="65" spans="1:7" ht="15" customHeight="1" x14ac:dyDescent="0.2">
      <c r="F65" s="219"/>
      <c r="G65" s="163"/>
    </row>
    <row r="66" spans="1:7" ht="15" customHeight="1" x14ac:dyDescent="0.2">
      <c r="F66" s="219"/>
      <c r="G66" s="163"/>
    </row>
    <row r="67" spans="1:7" ht="15" customHeight="1" x14ac:dyDescent="0.2">
      <c r="F67" s="219"/>
      <c r="G67" s="163"/>
    </row>
    <row r="68" spans="1:7" ht="28.5" customHeight="1" x14ac:dyDescent="0.2">
      <c r="F68" s="219"/>
      <c r="G68" s="163"/>
    </row>
    <row r="69" spans="1:7" ht="18.75" customHeight="1" x14ac:dyDescent="0.2">
      <c r="F69" s="219"/>
      <c r="G69" s="163"/>
    </row>
    <row r="70" spans="1:7" ht="18.75" customHeight="1" x14ac:dyDescent="0.2">
      <c r="F70" s="219"/>
      <c r="G70" s="163"/>
    </row>
    <row r="71" spans="1:7" ht="18.75" customHeight="1" x14ac:dyDescent="0.2">
      <c r="F71" s="219"/>
      <c r="G71" s="163"/>
    </row>
    <row r="72" spans="1:7" ht="18" customHeight="1" x14ac:dyDescent="0.35">
      <c r="A72" s="441" t="s">
        <v>0</v>
      </c>
      <c r="B72" s="441"/>
      <c r="C72" s="441"/>
      <c r="D72" s="441"/>
      <c r="E72" s="441"/>
      <c r="F72" s="219"/>
      <c r="G72" s="163"/>
    </row>
    <row r="73" spans="1:7" ht="17.25" customHeight="1" x14ac:dyDescent="0.35">
      <c r="A73" s="441" t="s">
        <v>300</v>
      </c>
      <c r="B73" s="441"/>
      <c r="C73" s="441"/>
      <c r="D73" s="441"/>
      <c r="E73" s="441"/>
      <c r="F73" s="219"/>
      <c r="G73" s="163"/>
    </row>
    <row r="74" spans="1:7" ht="18" customHeight="1" x14ac:dyDescent="0.35">
      <c r="A74" s="443" t="s">
        <v>427</v>
      </c>
      <c r="B74" s="443"/>
      <c r="C74" s="443"/>
      <c r="D74" s="443"/>
      <c r="E74" s="443"/>
      <c r="F74" s="219"/>
      <c r="G74" s="163"/>
    </row>
    <row r="75" spans="1:7" ht="15" customHeight="1" x14ac:dyDescent="0.35">
      <c r="A75" s="441" t="s">
        <v>1</v>
      </c>
      <c r="B75" s="441"/>
      <c r="C75" s="441"/>
      <c r="D75" s="441"/>
      <c r="E75" s="441"/>
      <c r="F75" s="219"/>
      <c r="G75" s="163"/>
    </row>
    <row r="76" spans="1:7" ht="15" customHeight="1" x14ac:dyDescent="0.35">
      <c r="A76" s="265"/>
      <c r="B76" s="265"/>
      <c r="C76" s="265"/>
      <c r="D76" s="265"/>
      <c r="E76" s="265"/>
      <c r="F76" s="219"/>
      <c r="G76" s="163"/>
    </row>
    <row r="77" spans="1:7" ht="15" customHeight="1" x14ac:dyDescent="0.35">
      <c r="A77" s="265"/>
      <c r="B77" s="265"/>
      <c r="C77" s="265"/>
      <c r="D77" s="265"/>
      <c r="E77" s="265"/>
      <c r="F77" s="219"/>
      <c r="G77" s="163"/>
    </row>
    <row r="78" spans="1:7" ht="28.5" customHeight="1" thickBot="1" x14ac:dyDescent="0.3">
      <c r="A78" s="221" t="s">
        <v>336</v>
      </c>
      <c r="B78" s="221"/>
      <c r="C78" s="221"/>
      <c r="D78" s="222"/>
      <c r="E78" s="221"/>
      <c r="F78" s="223"/>
      <c r="G78" s="163"/>
    </row>
    <row r="79" spans="1:7" ht="33.75" customHeight="1" thickBot="1" x14ac:dyDescent="0.25">
      <c r="A79" s="165" t="s">
        <v>302</v>
      </c>
      <c r="B79" s="166" t="s">
        <v>358</v>
      </c>
      <c r="C79" s="167" t="s">
        <v>18</v>
      </c>
      <c r="D79" s="168" t="s">
        <v>303</v>
      </c>
      <c r="E79" s="224" t="s">
        <v>304</v>
      </c>
      <c r="F79" s="163"/>
    </row>
    <row r="80" spans="1:7" ht="15" x14ac:dyDescent="0.25">
      <c r="A80" s="225" t="s">
        <v>337</v>
      </c>
      <c r="B80" s="226">
        <f>SUM(B81:B84)</f>
        <v>93071720</v>
      </c>
      <c r="C80" s="226">
        <f>SUM(C81:C84)</f>
        <v>50206570.119999997</v>
      </c>
      <c r="D80" s="227">
        <f>SUM(D81:D84)</f>
        <v>42865149.880000003</v>
      </c>
      <c r="E80" s="228">
        <f>C80/B80</f>
        <v>0.53943958616000642</v>
      </c>
      <c r="F80" s="163"/>
    </row>
    <row r="81" spans="1:6" ht="15" x14ac:dyDescent="0.25">
      <c r="A81" s="174" t="s">
        <v>306</v>
      </c>
      <c r="B81" s="175">
        <f>+'Ejecución Fondo 102'!E9+'Ejecución Fondo 102'!E10+'Ejecución Fondo 102'!E11+'Ejecución Fondo 102'!E15+'Ejecución Fondo 102'!E16+'Ejecución Fondo 102'!E12</f>
        <v>53350000</v>
      </c>
      <c r="C81" s="229">
        <f>+'Ejecución Fondo 102'!R9+'Ejecución Fondo 102'!R10+'Ejecución Fondo 102'!R11+'Ejecución Fondo 102'!R15+'Ejecución Fondo 102'!R16+'Ejecución Fondo 102'!R12</f>
        <v>34109000</v>
      </c>
      <c r="D81" s="230">
        <f t="shared" ref="D81:D84" si="5">B81-C81</f>
        <v>19241000</v>
      </c>
      <c r="E81" s="276"/>
      <c r="F81" s="163"/>
    </row>
    <row r="82" spans="1:6" ht="15" x14ac:dyDescent="0.25">
      <c r="A82" s="174" t="s">
        <v>338</v>
      </c>
      <c r="B82" s="175">
        <f>+'Ejecución Fondo 102'!E14</f>
        <v>5200000</v>
      </c>
      <c r="C82" s="229">
        <f>+'Ejecución Fondo 102'!R14</f>
        <v>0</v>
      </c>
      <c r="D82" s="230">
        <f t="shared" si="5"/>
        <v>5200000</v>
      </c>
      <c r="E82" s="276"/>
      <c r="F82" s="163"/>
    </row>
    <row r="83" spans="1:6" ht="15" x14ac:dyDescent="0.25">
      <c r="A83" s="174" t="s">
        <v>339</v>
      </c>
      <c r="B83" s="175">
        <f>+'Ejecución Fondo 102'!E17</f>
        <v>26272000</v>
      </c>
      <c r="C83" s="229">
        <f>+'Ejecución Fondo 102'!R17</f>
        <v>10896770.83</v>
      </c>
      <c r="D83" s="230">
        <f t="shared" si="5"/>
        <v>15375229.17</v>
      </c>
      <c r="E83" s="276"/>
      <c r="F83" s="163"/>
    </row>
    <row r="84" spans="1:6" ht="15" x14ac:dyDescent="0.25">
      <c r="A84" s="174" t="s">
        <v>310</v>
      </c>
      <c r="B84" s="175">
        <f>+'Ejecución Fondo 102'!E22</f>
        <v>8249720</v>
      </c>
      <c r="C84" s="229">
        <f>+'Ejecución Fondo 102'!R22</f>
        <v>5200799.29</v>
      </c>
      <c r="D84" s="230">
        <f t="shared" si="5"/>
        <v>3048920.71</v>
      </c>
      <c r="E84" s="276"/>
    </row>
    <row r="85" spans="1:6" ht="15" x14ac:dyDescent="0.25">
      <c r="A85" s="231" t="s">
        <v>311</v>
      </c>
      <c r="B85" s="232">
        <f>SUM(B86:B93)</f>
        <v>23432528.32</v>
      </c>
      <c r="C85" s="232">
        <f>SUM(C86:C93)</f>
        <v>12675826.220000001</v>
      </c>
      <c r="D85" s="232">
        <f>SUM(D86:D93)</f>
        <v>10756702.1</v>
      </c>
      <c r="E85" s="228">
        <f>C85/B85</f>
        <v>0.54095000107952507</v>
      </c>
    </row>
    <row r="86" spans="1:6" ht="15" x14ac:dyDescent="0.25">
      <c r="A86" s="182" t="s">
        <v>312</v>
      </c>
      <c r="B86" s="183">
        <f>+'Ejecución Fondo 102'!E27</f>
        <v>4480000</v>
      </c>
      <c r="C86" s="183">
        <f>+'Ejecución Fondo 102'!R27</f>
        <v>1723072.68</v>
      </c>
      <c r="D86" s="234">
        <f>B86-C86</f>
        <v>2756927.3200000003</v>
      </c>
      <c r="E86" s="277"/>
    </row>
    <row r="87" spans="1:6" ht="15" x14ac:dyDescent="0.25">
      <c r="A87" s="182" t="s">
        <v>340</v>
      </c>
      <c r="B87" s="183">
        <f>+'Ejecución Fondo 102'!E35</f>
        <v>3000000</v>
      </c>
      <c r="C87" s="183">
        <f>+'Ejecución Fondo 102'!R35</f>
        <v>1660010</v>
      </c>
      <c r="D87" s="234">
        <f t="shared" ref="D87:D91" si="6">B87-C87</f>
        <v>1339990</v>
      </c>
      <c r="E87" s="277"/>
    </row>
    <row r="88" spans="1:6" ht="15" x14ac:dyDescent="0.25">
      <c r="A88" s="182" t="s">
        <v>341</v>
      </c>
      <c r="B88" s="183">
        <f>+'Ejecución Fondo 102'!E38</f>
        <v>571858.32000000007</v>
      </c>
      <c r="C88" s="183">
        <f>+'Ejecución Fondo 102'!R38</f>
        <v>177970</v>
      </c>
      <c r="D88" s="234">
        <f t="shared" si="6"/>
        <v>393888.32000000007</v>
      </c>
      <c r="E88" s="277"/>
    </row>
    <row r="89" spans="1:6" ht="15" x14ac:dyDescent="0.25">
      <c r="A89" s="182" t="s">
        <v>342</v>
      </c>
      <c r="B89" s="183">
        <f>+'Ejecución Fondo 102'!E43</f>
        <v>7065000</v>
      </c>
      <c r="C89" s="183">
        <f>+'Ejecución Fondo 102'!R43</f>
        <v>4451273.5999999996</v>
      </c>
      <c r="D89" s="234">
        <f t="shared" si="6"/>
        <v>2613726.4000000004</v>
      </c>
      <c r="E89" s="277"/>
    </row>
    <row r="90" spans="1:6" ht="15" x14ac:dyDescent="0.25">
      <c r="A90" s="182" t="s">
        <v>343</v>
      </c>
      <c r="B90" s="183">
        <f>+'Ejecución Fondo 102'!E48</f>
        <v>4760000</v>
      </c>
      <c r="C90" s="183">
        <f>+'Ejecución Fondo 102'!R48</f>
        <v>3853973.5400000005</v>
      </c>
      <c r="D90" s="234">
        <f t="shared" si="6"/>
        <v>906026.4599999995</v>
      </c>
      <c r="E90" s="277"/>
    </row>
    <row r="91" spans="1:6" ht="15" x14ac:dyDescent="0.25">
      <c r="A91" s="236" t="s">
        <v>344</v>
      </c>
      <c r="B91" s="183">
        <f>+'Ejecución Fondo 102'!E51</f>
        <v>1009500</v>
      </c>
      <c r="C91" s="183">
        <f>+'Ejecución Fondo 102'!R51</f>
        <v>213946.8</v>
      </c>
      <c r="D91" s="234">
        <f t="shared" si="6"/>
        <v>795553.2</v>
      </c>
      <c r="E91" s="277"/>
    </row>
    <row r="92" spans="1:6" ht="15" x14ac:dyDescent="0.25">
      <c r="A92" s="236" t="s">
        <v>345</v>
      </c>
      <c r="B92" s="183">
        <f>+'Ejecución Fondo 102'!E57</f>
        <v>1046170</v>
      </c>
      <c r="C92" s="183">
        <f>+'Ejecución Fondo 102'!R57</f>
        <v>595579.6</v>
      </c>
      <c r="D92" s="234">
        <f>B92-C92</f>
        <v>450590.4</v>
      </c>
      <c r="E92" s="277"/>
    </row>
    <row r="93" spans="1:6" ht="15" x14ac:dyDescent="0.25">
      <c r="A93" s="236" t="s">
        <v>404</v>
      </c>
      <c r="B93" s="183">
        <f>+'Ejecución Fondo 102'!E68</f>
        <v>1500000</v>
      </c>
      <c r="C93" s="183">
        <f>+'Ejecución Fondo 102'!R66</f>
        <v>0</v>
      </c>
      <c r="D93" s="234">
        <f>B93-C93</f>
        <v>1500000</v>
      </c>
      <c r="E93" s="277"/>
    </row>
    <row r="94" spans="1:6" ht="15" x14ac:dyDescent="0.25">
      <c r="A94" s="231" t="s">
        <v>319</v>
      </c>
      <c r="B94" s="237">
        <f>SUM(B95:B101)</f>
        <v>8444280</v>
      </c>
      <c r="C94" s="237">
        <f>SUM(C95:C101)</f>
        <v>813014.3</v>
      </c>
      <c r="D94" s="227">
        <f>SUM(D95:D101)</f>
        <v>7631265.7000000002</v>
      </c>
      <c r="E94" s="233">
        <f>C94/B94</f>
        <v>9.6279884134585783E-2</v>
      </c>
    </row>
    <row r="95" spans="1:6" ht="15" x14ac:dyDescent="0.25">
      <c r="A95" s="182" t="s">
        <v>320</v>
      </c>
      <c r="B95" s="183">
        <f>+'Ejecución Fondo 102'!E70</f>
        <v>600000</v>
      </c>
      <c r="C95" s="183">
        <f>+'Ejecución Fondo 102'!R70</f>
        <v>399963.2</v>
      </c>
      <c r="D95" s="234">
        <f>B95-C95</f>
        <v>200036.8</v>
      </c>
      <c r="E95" s="235"/>
    </row>
    <row r="96" spans="1:6" ht="15" x14ac:dyDescent="0.25">
      <c r="A96" s="182" t="s">
        <v>429</v>
      </c>
      <c r="B96" s="183">
        <f>+'Ejecución Fondo 102'!E74</f>
        <v>20000</v>
      </c>
      <c r="C96" s="183">
        <v>0</v>
      </c>
      <c r="D96" s="234">
        <f>B96-C96</f>
        <v>20000</v>
      </c>
      <c r="E96" s="235"/>
    </row>
    <row r="97" spans="1:14" ht="15" x14ac:dyDescent="0.25">
      <c r="A97" s="182" t="s">
        <v>348</v>
      </c>
      <c r="B97" s="183">
        <f>+'Ejecución Fondo 102'!E78</f>
        <v>226000</v>
      </c>
      <c r="C97" s="183">
        <f>+'Ejecución Fondo 102'!R78</f>
        <v>0</v>
      </c>
      <c r="D97" s="234">
        <f t="shared" ref="D97:D101" si="7">B97-C97</f>
        <v>226000</v>
      </c>
      <c r="E97" s="235"/>
    </row>
    <row r="98" spans="1:14" ht="15" x14ac:dyDescent="0.25">
      <c r="A98" s="182" t="s">
        <v>349</v>
      </c>
      <c r="B98" s="183">
        <f>+'Ejecución Fondo 102'!E82</f>
        <v>521600</v>
      </c>
      <c r="C98" s="183">
        <f>+'Ejecución Fondo 102'!R82</f>
        <v>261960</v>
      </c>
      <c r="D98" s="234">
        <f t="shared" si="7"/>
        <v>259640</v>
      </c>
      <c r="E98" s="235"/>
    </row>
    <row r="99" spans="1:14" ht="15" x14ac:dyDescent="0.25">
      <c r="A99" s="182" t="s">
        <v>419</v>
      </c>
      <c r="B99" s="183">
        <f>+'Ejecución Fondo 102'!E84</f>
        <v>40000</v>
      </c>
      <c r="C99" s="183">
        <f>+'Ejecución Fondo 102'!R84</f>
        <v>24713.919999999998</v>
      </c>
      <c r="D99" s="234">
        <f>B99-C99</f>
        <v>15286.080000000002</v>
      </c>
      <c r="E99" s="235"/>
    </row>
    <row r="100" spans="1:14" ht="15" x14ac:dyDescent="0.25">
      <c r="A100" s="182" t="s">
        <v>324</v>
      </c>
      <c r="B100" s="183">
        <f>+'Ejecución Fondo 102'!E86</f>
        <v>6078000</v>
      </c>
      <c r="C100" s="183">
        <f>+'Ejecución Fondo 102'!R86</f>
        <v>0</v>
      </c>
      <c r="D100" s="234">
        <f t="shared" si="7"/>
        <v>6078000</v>
      </c>
      <c r="E100" s="235"/>
    </row>
    <row r="101" spans="1:14" ht="15" x14ac:dyDescent="0.25">
      <c r="A101" s="182" t="s">
        <v>325</v>
      </c>
      <c r="B101" s="183">
        <f>+'Ejecución Fondo 102'!E91</f>
        <v>958680</v>
      </c>
      <c r="C101" s="183">
        <f>+'Ejecución Fondo 102'!R91</f>
        <v>126377.18</v>
      </c>
      <c r="D101" s="234">
        <f t="shared" si="7"/>
        <v>832302.82000000007</v>
      </c>
      <c r="E101" s="235"/>
    </row>
    <row r="102" spans="1:14" ht="15" x14ac:dyDescent="0.25">
      <c r="A102" s="238" t="s">
        <v>328</v>
      </c>
      <c r="B102" s="237">
        <f>B103+B105+B104+B106+B107</f>
        <v>7064950</v>
      </c>
      <c r="C102" s="237">
        <f>C103+C105+C104+C106+C107</f>
        <v>5780092.8999999994</v>
      </c>
      <c r="D102" s="237">
        <f>D103+D105+D104+D106+D107</f>
        <v>1284857.1000000001</v>
      </c>
      <c r="E102" s="292">
        <f>C102/B102</f>
        <v>0.81813641993220043</v>
      </c>
    </row>
    <row r="103" spans="1:14" ht="15" x14ac:dyDescent="0.25">
      <c r="A103" s="206" t="s">
        <v>329</v>
      </c>
      <c r="B103" s="239">
        <f>+'Ejecución Fondo 102'!E100</f>
        <v>3819000</v>
      </c>
      <c r="C103" s="239">
        <f>+'Ejecución Fondo 102'!R100</f>
        <v>2716532.28</v>
      </c>
      <c r="D103" s="291">
        <f t="shared" ref="D103:D107" si="8">B103-C103</f>
        <v>1102467.7200000002</v>
      </c>
      <c r="E103" s="282"/>
    </row>
    <row r="104" spans="1:14" ht="30" x14ac:dyDescent="0.25">
      <c r="A104" s="206" t="s">
        <v>376</v>
      </c>
      <c r="B104" s="239">
        <f>+'Ejecución Fondo 102'!E105</f>
        <v>257000</v>
      </c>
      <c r="C104" s="239">
        <f>+'Ejecución Fondo 102'!R104</f>
        <v>238610.62</v>
      </c>
      <c r="D104" s="349">
        <f t="shared" si="8"/>
        <v>18389.380000000005</v>
      </c>
      <c r="E104" s="282"/>
    </row>
    <row r="105" spans="1:14" ht="16.5" customHeight="1" x14ac:dyDescent="0.25">
      <c r="A105" s="335" t="s">
        <v>405</v>
      </c>
      <c r="B105" s="239">
        <f>+'Ejecución Fondo 102'!E115</f>
        <v>2824950</v>
      </c>
      <c r="C105" s="239">
        <f>+'Ejecución Fondo 102'!R115</f>
        <v>2824950</v>
      </c>
      <c r="D105" s="281">
        <f t="shared" si="8"/>
        <v>0</v>
      </c>
      <c r="E105" s="336"/>
    </row>
    <row r="106" spans="1:14" ht="16.5" customHeight="1" x14ac:dyDescent="0.25">
      <c r="A106" s="280" t="s">
        <v>331</v>
      </c>
      <c r="B106" s="27">
        <f>+'Ejecución Fondo 102'!E116</f>
        <v>60000</v>
      </c>
      <c r="C106" s="27">
        <v>0</v>
      </c>
      <c r="D106" s="281">
        <f t="shared" si="8"/>
        <v>60000</v>
      </c>
      <c r="E106" s="282"/>
    </row>
    <row r="107" spans="1:14" ht="16.5" customHeight="1" x14ac:dyDescent="0.25">
      <c r="A107" s="280" t="s">
        <v>428</v>
      </c>
      <c r="B107" s="27">
        <f>+'Ejecución Fondo 102'!E118</f>
        <v>104000</v>
      </c>
      <c r="C107" s="27">
        <v>0</v>
      </c>
      <c r="D107" s="281">
        <f t="shared" si="8"/>
        <v>104000</v>
      </c>
      <c r="E107" s="282"/>
    </row>
    <row r="108" spans="1:14" thickBot="1" x14ac:dyDescent="0.3">
      <c r="A108" s="340" t="s">
        <v>350</v>
      </c>
      <c r="B108" s="341">
        <f>B80+B85+B94+B102</f>
        <v>132013478.31999999</v>
      </c>
      <c r="C108" s="342">
        <f>C80+C85+C94+C102</f>
        <v>69475503.539999992</v>
      </c>
      <c r="D108" s="343">
        <f>D80+D85+D94+D102</f>
        <v>62537974.780000009</v>
      </c>
      <c r="E108" s="344">
        <f>C108/B108</f>
        <v>0.52627583504459852</v>
      </c>
      <c r="F108" s="241"/>
    </row>
    <row r="109" spans="1:14" ht="12" hidden="1" customHeight="1" thickBot="1" x14ac:dyDescent="0.3">
      <c r="A109" s="242"/>
      <c r="B109" s="243"/>
      <c r="C109" s="243"/>
      <c r="D109" s="244"/>
      <c r="E109" s="245"/>
      <c r="F109" s="192"/>
      <c r="G109" s="192"/>
      <c r="H109" s="192"/>
      <c r="I109" s="192"/>
      <c r="J109" s="192"/>
      <c r="K109" s="192"/>
      <c r="L109" s="192"/>
      <c r="M109" s="192"/>
      <c r="N109" s="192"/>
    </row>
    <row r="110" spans="1:14" ht="23.25" hidden="1" customHeight="1" thickBot="1" x14ac:dyDescent="0.3">
      <c r="A110" s="246" t="s">
        <v>351</v>
      </c>
      <c r="B110" s="247">
        <f>B48+B108</f>
        <v>276532264.34000003</v>
      </c>
      <c r="C110" s="247">
        <f>C48+C108</f>
        <v>147984623.63999999</v>
      </c>
      <c r="D110" s="248">
        <f>D48+D108</f>
        <v>128547640.70000002</v>
      </c>
      <c r="E110" s="249">
        <f>C110/B110</f>
        <v>0.53514415033339824</v>
      </c>
    </row>
    <row r="111" spans="1:14" ht="14.25" customHeight="1" x14ac:dyDescent="0.2"/>
    <row r="112" spans="1:14" ht="13.5" customHeight="1" x14ac:dyDescent="0.2">
      <c r="A112" s="217" t="s">
        <v>238</v>
      </c>
    </row>
    <row r="113" spans="1:4" ht="12.75" x14ac:dyDescent="0.2">
      <c r="A113" s="220" t="s">
        <v>239</v>
      </c>
    </row>
    <row r="114" spans="1:4" ht="12.75" x14ac:dyDescent="0.2">
      <c r="D114" s="250"/>
    </row>
    <row r="115" spans="1:4" ht="12.75" x14ac:dyDescent="0.2">
      <c r="D115" s="250"/>
    </row>
    <row r="116" spans="1:4" ht="12.75" x14ac:dyDescent="0.2">
      <c r="D116" s="250"/>
    </row>
    <row r="117" spans="1:4" ht="15" x14ac:dyDescent="0.25">
      <c r="A117" s="58" t="s">
        <v>334</v>
      </c>
      <c r="D117" s="250"/>
    </row>
    <row r="118" spans="1:4" ht="15" x14ac:dyDescent="0.25">
      <c r="A118" s="58" t="s">
        <v>432</v>
      </c>
      <c r="D118" s="250"/>
    </row>
    <row r="119" spans="1:4" ht="12.75" customHeight="1" x14ac:dyDescent="0.2">
      <c r="A119" s="442"/>
      <c r="B119" s="442"/>
    </row>
    <row r="120" spans="1:4" ht="18" customHeight="1" x14ac:dyDescent="0.2">
      <c r="A120" s="442"/>
      <c r="B120" s="442"/>
    </row>
    <row r="121" spans="1:4" ht="12.75" x14ac:dyDescent="0.2"/>
    <row r="122" spans="1:4" ht="12.75" x14ac:dyDescent="0.2"/>
    <row r="123" spans="1:4" ht="12.75" x14ac:dyDescent="0.2"/>
    <row r="124" spans="1:4" ht="12.75" x14ac:dyDescent="0.2"/>
    <row r="125" spans="1:4" ht="12.75" x14ac:dyDescent="0.2"/>
    <row r="126" spans="1:4" ht="12.75" x14ac:dyDescent="0.2"/>
    <row r="127" spans="1:4" ht="12.75" x14ac:dyDescent="0.2"/>
    <row r="128" spans="1:4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</sheetData>
  <mergeCells count="10">
    <mergeCell ref="A7:E7"/>
    <mergeCell ref="A8:E8"/>
    <mergeCell ref="A9:E9"/>
    <mergeCell ref="A10:E10"/>
    <mergeCell ref="D12:E12"/>
    <mergeCell ref="A72:E72"/>
    <mergeCell ref="A119:B120"/>
    <mergeCell ref="A73:E73"/>
    <mergeCell ref="A74:E74"/>
    <mergeCell ref="A75:E75"/>
  </mergeCells>
  <printOptions horizontalCentered="1" verticalCentered="1"/>
  <pageMargins left="0.25" right="0.25" top="0" bottom="2.99" header="0.17" footer="2.95"/>
  <pageSetup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27A2-2A1D-41E4-BB5F-13AD437A17A0}">
  <dimension ref="A1:E1006"/>
  <sheetViews>
    <sheetView showGridLines="0" topLeftCell="A38" zoomScaleNormal="100" workbookViewId="0">
      <selection activeCell="A8" sqref="A8"/>
    </sheetView>
  </sheetViews>
  <sheetFormatPr baseColWidth="10" defaultColWidth="14.42578125" defaultRowHeight="15.75" customHeight="1" x14ac:dyDescent="0.2"/>
  <cols>
    <col min="1" max="1" width="54.42578125" style="3" customWidth="1"/>
    <col min="2" max="2" width="17.85546875" style="3" customWidth="1"/>
    <col min="3" max="3" width="16" style="3" customWidth="1"/>
    <col min="4" max="4" width="16.42578125" style="3" customWidth="1"/>
    <col min="5" max="5" width="12.42578125" style="3" customWidth="1"/>
    <col min="6" max="11" width="10.7109375" customWidth="1"/>
  </cols>
  <sheetData>
    <row r="1" spans="1:5" ht="29.25" customHeight="1" x14ac:dyDescent="0.2"/>
    <row r="2" spans="1:5" ht="29.25" customHeight="1" x14ac:dyDescent="0.2"/>
    <row r="3" spans="1:5" s="251" customFormat="1" ht="21" x14ac:dyDescent="0.35">
      <c r="A3" s="441" t="s">
        <v>0</v>
      </c>
      <c r="B3" s="441"/>
      <c r="C3" s="441"/>
      <c r="D3" s="441"/>
      <c r="E3" s="441"/>
    </row>
    <row r="4" spans="1:5" s="251" customFormat="1" ht="21" x14ac:dyDescent="0.35">
      <c r="A4" s="441" t="s">
        <v>352</v>
      </c>
      <c r="B4" s="441"/>
      <c r="C4" s="441"/>
      <c r="D4" s="441"/>
      <c r="E4" s="441"/>
    </row>
    <row r="5" spans="1:5" s="251" customFormat="1" ht="21" x14ac:dyDescent="0.35">
      <c r="A5" s="443" t="s">
        <v>427</v>
      </c>
      <c r="B5" s="443"/>
      <c r="C5" s="443"/>
      <c r="D5" s="443"/>
      <c r="E5" s="443"/>
    </row>
    <row r="6" spans="1:5" s="251" customFormat="1" ht="18" customHeight="1" x14ac:dyDescent="0.35">
      <c r="A6" s="441" t="s">
        <v>1</v>
      </c>
      <c r="B6" s="441"/>
      <c r="C6" s="441"/>
      <c r="D6" s="441"/>
      <c r="E6" s="441"/>
    </row>
    <row r="7" spans="1:5" ht="8.25" customHeight="1" x14ac:dyDescent="0.35">
      <c r="A7" s="252"/>
      <c r="B7" s="253"/>
      <c r="C7" s="253"/>
      <c r="D7" s="253"/>
      <c r="E7" s="253"/>
    </row>
    <row r="8" spans="1:5" ht="15" customHeight="1" thickBot="1" x14ac:dyDescent="0.3">
      <c r="A8" s="221" t="s">
        <v>353</v>
      </c>
      <c r="B8" s="11"/>
      <c r="C8" s="11"/>
      <c r="D8" s="444"/>
      <c r="E8" s="444"/>
    </row>
    <row r="9" spans="1:5" ht="34.5" customHeight="1" thickBot="1" x14ac:dyDescent="0.25">
      <c r="A9" s="309" t="s">
        <v>302</v>
      </c>
      <c r="B9" s="310" t="s">
        <v>358</v>
      </c>
      <c r="C9" s="311" t="s">
        <v>18</v>
      </c>
      <c r="D9" s="312" t="s">
        <v>303</v>
      </c>
      <c r="E9" s="313" t="s">
        <v>304</v>
      </c>
    </row>
    <row r="10" spans="1:5" thickBot="1" x14ac:dyDescent="0.3">
      <c r="A10" s="298" t="s">
        <v>305</v>
      </c>
      <c r="B10" s="299">
        <f>SUM(B11:B15)</f>
        <v>183090277</v>
      </c>
      <c r="C10" s="299">
        <f>SUM(C11:C15)</f>
        <v>102010060.97999999</v>
      </c>
      <c r="D10" s="300">
        <f>SUM(D11:D15)</f>
        <v>81080216.020000011</v>
      </c>
      <c r="E10" s="301">
        <f>C10/B10</f>
        <v>0.55715717214191551</v>
      </c>
    </row>
    <row r="11" spans="1:5" ht="15" x14ac:dyDescent="0.25">
      <c r="A11" s="174" t="s">
        <v>354</v>
      </c>
      <c r="B11" s="175">
        <f>+'Resumen Ejecución  2023'!B15+'Resumen Ejecución  2023'!B81</f>
        <v>125564148</v>
      </c>
      <c r="C11" s="229">
        <f>+'Resumen Ejecución  2023'!C15+'Resumen Ejecución  2023'!C81</f>
        <v>77457930.310000002</v>
      </c>
      <c r="D11" s="230">
        <f t="shared" ref="D11:D15" si="0">B11-C11</f>
        <v>48106217.689999998</v>
      </c>
      <c r="E11" s="276"/>
    </row>
    <row r="12" spans="1:5" ht="15" x14ac:dyDescent="0.25">
      <c r="A12" s="174" t="s">
        <v>338</v>
      </c>
      <c r="B12" s="175">
        <f>+'Resumen Ejecución  2023'!B82+'Resumen Ejecución  2023'!B16</f>
        <v>10600000</v>
      </c>
      <c r="C12" s="229">
        <f>+'Resumen Ejecución  2023'!C82+'Resumen Ejecución  2023'!C16</f>
        <v>0</v>
      </c>
      <c r="D12" s="230">
        <f t="shared" si="0"/>
        <v>10600000</v>
      </c>
      <c r="E12" s="276"/>
    </row>
    <row r="13" spans="1:5" ht="15" x14ac:dyDescent="0.25">
      <c r="A13" s="174" t="s">
        <v>339</v>
      </c>
      <c r="B13" s="175">
        <f>+'Resumen Ejecución  2023'!B17+'Resumen Ejecución  2023'!B83</f>
        <v>28372000</v>
      </c>
      <c r="C13" s="229">
        <f>+'Resumen Ejecución  2023'!C17+'Resumen Ejecución  2023'!C83</f>
        <v>12805377.08</v>
      </c>
      <c r="D13" s="230">
        <f t="shared" si="0"/>
        <v>15566622.92</v>
      </c>
      <c r="E13" s="276"/>
    </row>
    <row r="14" spans="1:5" ht="15" x14ac:dyDescent="0.25">
      <c r="A14" s="174" t="s">
        <v>355</v>
      </c>
      <c r="B14" s="175">
        <f>+'Resumen Ejecución  2023'!B18</f>
        <v>432000</v>
      </c>
      <c r="C14" s="229">
        <f>+'Resumen Ejecución  2023'!C18</f>
        <v>205499.96</v>
      </c>
      <c r="D14" s="230">
        <f t="shared" si="0"/>
        <v>226500.04</v>
      </c>
      <c r="E14" s="276"/>
    </row>
    <row r="15" spans="1:5" thickBot="1" x14ac:dyDescent="0.3">
      <c r="A15" s="302" t="s">
        <v>310</v>
      </c>
      <c r="B15" s="303">
        <f>+'Resumen Ejecución  2023'!B19+'Resumen Ejecución  2023'!B84</f>
        <v>18122129</v>
      </c>
      <c r="C15" s="304">
        <f>+'Resumen Ejecución  2023'!C19+'Resumen Ejecución  2023'!C84</f>
        <v>11541253.629999999</v>
      </c>
      <c r="D15" s="305">
        <f t="shared" si="0"/>
        <v>6580875.370000001</v>
      </c>
      <c r="E15" s="306"/>
    </row>
    <row r="16" spans="1:5" thickBot="1" x14ac:dyDescent="0.3">
      <c r="A16" s="298" t="s">
        <v>311</v>
      </c>
      <c r="B16" s="307">
        <f>SUM(B17:B25)</f>
        <v>50510348.32</v>
      </c>
      <c r="C16" s="307">
        <f>SUM(C17:C25)</f>
        <v>24001892.650000002</v>
      </c>
      <c r="D16" s="308">
        <f>SUM(D17:D25)</f>
        <v>26508455.669999998</v>
      </c>
      <c r="E16" s="301">
        <f>C16/B16</f>
        <v>0.47518762883874727</v>
      </c>
    </row>
    <row r="17" spans="1:5" ht="15" x14ac:dyDescent="0.25">
      <c r="A17" s="174" t="s">
        <v>312</v>
      </c>
      <c r="B17" s="229">
        <f>+'Resumen Ejecución  2023'!B21+'Resumen Ejecución  2023'!B86</f>
        <v>8680000</v>
      </c>
      <c r="C17" s="176">
        <f>+'Resumen Ejecución  2023'!C21+'Resumen Ejecución  2023'!C86</f>
        <v>4596878.4800000004</v>
      </c>
      <c r="D17" s="230">
        <f>B17-C17</f>
        <v>4083121.5199999996</v>
      </c>
      <c r="E17" s="276"/>
    </row>
    <row r="18" spans="1:5" ht="15" x14ac:dyDescent="0.25">
      <c r="A18" s="236" t="s">
        <v>313</v>
      </c>
      <c r="B18" s="183">
        <f>+'Resumen Ejecución  2023'!B22</f>
        <v>2357410</v>
      </c>
      <c r="C18" s="184">
        <f>+'Resumen Ejecución  2023'!C22</f>
        <v>236956.27000000002</v>
      </c>
      <c r="D18" s="234">
        <f t="shared" ref="D18:D23" si="1">B18-C18</f>
        <v>2120453.73</v>
      </c>
      <c r="E18" s="277"/>
    </row>
    <row r="19" spans="1:5" ht="15" x14ac:dyDescent="0.25">
      <c r="A19" s="182" t="s">
        <v>314</v>
      </c>
      <c r="B19" s="183">
        <f>+'Resumen Ejecución  2023'!B23+'Resumen Ejecución  2023'!B87</f>
        <v>4184170</v>
      </c>
      <c r="C19" s="184">
        <f>+'Resumen Ejecución  2023'!C23+'Resumen Ejecución  2023'!C87</f>
        <v>2834169.5</v>
      </c>
      <c r="D19" s="234">
        <f t="shared" si="1"/>
        <v>1350000.5</v>
      </c>
      <c r="E19" s="277"/>
    </row>
    <row r="20" spans="1:5" ht="15" x14ac:dyDescent="0.25">
      <c r="A20" s="182" t="s">
        <v>341</v>
      </c>
      <c r="B20" s="183">
        <f>+'Resumen Ejecución  2023'!B88+'Resumen Ejecución  2023'!B24</f>
        <v>1071858.32</v>
      </c>
      <c r="C20" s="184">
        <f>+'Resumen Ejecución  2023'!C88+'Resumen Ejecución  2023'!C24</f>
        <v>177970</v>
      </c>
      <c r="D20" s="234">
        <f t="shared" si="1"/>
        <v>893888.32000000007</v>
      </c>
      <c r="E20" s="277"/>
    </row>
    <row r="21" spans="1:5" ht="15" x14ac:dyDescent="0.25">
      <c r="A21" s="182" t="s">
        <v>342</v>
      </c>
      <c r="B21" s="183">
        <f>+'Resumen Ejecución  2023'!B25+'Resumen Ejecución  2023'!B89</f>
        <v>14971746</v>
      </c>
      <c r="C21" s="184">
        <f>+'Resumen Ejecución  2023'!C25+'Resumen Ejecución  2023'!C89</f>
        <v>6587152.4699999997</v>
      </c>
      <c r="D21" s="234">
        <f>B21-C21</f>
        <v>8384593.5300000003</v>
      </c>
      <c r="E21" s="277"/>
    </row>
    <row r="22" spans="1:5" ht="15" x14ac:dyDescent="0.25">
      <c r="A22" s="182" t="s">
        <v>343</v>
      </c>
      <c r="B22" s="183">
        <f>+'Resumen Ejecución  2023'!B90</f>
        <v>4760000</v>
      </c>
      <c r="C22" s="184">
        <f>+'Resumen Ejecución  2023'!C90</f>
        <v>3853973.5400000005</v>
      </c>
      <c r="D22" s="234">
        <f t="shared" si="1"/>
        <v>906026.4599999995</v>
      </c>
      <c r="E22" s="277"/>
    </row>
    <row r="23" spans="1:5" ht="27.75" customHeight="1" x14ac:dyDescent="0.25">
      <c r="A23" s="236" t="s">
        <v>377</v>
      </c>
      <c r="B23" s="183">
        <f>+'Resumen Ejecución  2023'!B26+'Resumen Ejecución  2023'!B91</f>
        <v>3796750</v>
      </c>
      <c r="C23" s="184">
        <f>+'Resumen Ejecución  2023'!C26+'Resumen Ejecución  2023'!C91</f>
        <v>1921345.9900000002</v>
      </c>
      <c r="D23" s="346">
        <f t="shared" si="1"/>
        <v>1875404.0099999998</v>
      </c>
      <c r="E23" s="277"/>
    </row>
    <row r="24" spans="1:5" ht="15" x14ac:dyDescent="0.25">
      <c r="A24" s="236" t="s">
        <v>345</v>
      </c>
      <c r="B24" s="183">
        <f>+'Resumen Ejecución  2023'!B27+'Resumen Ejecución  2023'!B92</f>
        <v>7483414</v>
      </c>
      <c r="C24" s="184">
        <f>+'Resumen Ejecución  2023'!C92+'Resumen Ejecución  2023'!C27</f>
        <v>2305690.6</v>
      </c>
      <c r="D24" s="254">
        <f>B24-C24</f>
        <v>5177723.4000000004</v>
      </c>
      <c r="E24" s="277"/>
    </row>
    <row r="25" spans="1:5" thickBot="1" x14ac:dyDescent="0.3">
      <c r="A25" s="293" t="s">
        <v>346</v>
      </c>
      <c r="B25" s="239">
        <f>+'Resumen Ejecución  2023'!B28+'Resumen Ejecución  2023'!B93</f>
        <v>3205000</v>
      </c>
      <c r="C25" s="294">
        <f>+'Resumen Ejecución  2023'!C28+'Resumen Ejecución  2023'!C93</f>
        <v>1487755.7999999998</v>
      </c>
      <c r="D25" s="295">
        <f>B25-C25</f>
        <v>1717244.2000000002</v>
      </c>
      <c r="E25" s="296"/>
    </row>
    <row r="26" spans="1:5" thickBot="1" x14ac:dyDescent="0.3">
      <c r="A26" s="298" t="s">
        <v>319</v>
      </c>
      <c r="B26" s="299">
        <f>SUM(B27:B33)</f>
        <v>26576049.02</v>
      </c>
      <c r="C26" s="299">
        <f>SUM(C27:C33)</f>
        <v>11491173.710000001</v>
      </c>
      <c r="D26" s="300">
        <f>SUM(D27:D33)</f>
        <v>15084875.309999999</v>
      </c>
      <c r="E26" s="301">
        <f>C26/B26</f>
        <v>0.4323883396419172</v>
      </c>
    </row>
    <row r="27" spans="1:5" ht="15" x14ac:dyDescent="0.25">
      <c r="A27" s="174" t="s">
        <v>320</v>
      </c>
      <c r="B27" s="229">
        <f>+'Resumen Ejecución  2023'!B30+'Resumen Ejecución  2023'!B95</f>
        <v>2269405</v>
      </c>
      <c r="C27" s="176">
        <f>+'Resumen Ejecución  2023'!C30+'Resumen Ejecución  2023'!C95</f>
        <v>1345805.66</v>
      </c>
      <c r="D27" s="230">
        <f t="shared" ref="D27:D33" si="2">B27-C27</f>
        <v>923599.34000000008</v>
      </c>
      <c r="E27" s="297"/>
    </row>
    <row r="28" spans="1:5" ht="15" x14ac:dyDescent="0.25">
      <c r="A28" s="182" t="s">
        <v>347</v>
      </c>
      <c r="B28" s="183">
        <f>+'Resumen Ejecución  2023'!B31+'Ejecución Fondo 102'!E74</f>
        <v>681630</v>
      </c>
      <c r="C28" s="184">
        <f>+'Resumen Ejecución  2023'!C31</f>
        <v>353485.51999999996</v>
      </c>
      <c r="D28" s="234">
        <f t="shared" si="2"/>
        <v>328144.48000000004</v>
      </c>
      <c r="E28" s="235"/>
    </row>
    <row r="29" spans="1:5" ht="15" x14ac:dyDescent="0.25">
      <c r="A29" s="182" t="s">
        <v>348</v>
      </c>
      <c r="B29" s="183">
        <f>+'Resumen Ejecución  2023'!B97+'Resumen Ejecución  2023'!B32</f>
        <v>1742635</v>
      </c>
      <c r="C29" s="184">
        <f>+'Resumen Ejecución  2023'!C32+'Resumen Ejecución  2023'!C97</f>
        <v>486791.6</v>
      </c>
      <c r="D29" s="234">
        <f t="shared" si="2"/>
        <v>1255843.3999999999</v>
      </c>
      <c r="E29" s="235"/>
    </row>
    <row r="30" spans="1:5" ht="15" x14ac:dyDescent="0.25">
      <c r="A30" s="182" t="s">
        <v>349</v>
      </c>
      <c r="B30" s="183">
        <f>+'Resumen Ejecución  2023'!B33+'Resumen Ejecución  2023'!B98</f>
        <v>678850</v>
      </c>
      <c r="C30" s="184">
        <f>+'Resumen Ejecución  2023'!C98+'Resumen Ejecución  2023'!C33</f>
        <v>352820</v>
      </c>
      <c r="D30" s="234">
        <f>B30-C30</f>
        <v>326030</v>
      </c>
      <c r="E30" s="235"/>
    </row>
    <row r="31" spans="1:5" ht="15" x14ac:dyDescent="0.25">
      <c r="A31" s="182" t="s">
        <v>323</v>
      </c>
      <c r="B31" s="183">
        <f>+'Resumen Ejecución  2023'!B34+'Resumen Ejecución  2023'!B99</f>
        <v>241060</v>
      </c>
      <c r="C31" s="184">
        <f>+'Resumen Ejecución  2023'!C34+'Resumen Ejecución  2023'!C99</f>
        <v>78936.91</v>
      </c>
      <c r="D31" s="234">
        <f>B31-C31</f>
        <v>162123.09</v>
      </c>
      <c r="E31" s="235"/>
    </row>
    <row r="32" spans="1:5" ht="15" x14ac:dyDescent="0.25">
      <c r="A32" s="182" t="s">
        <v>324</v>
      </c>
      <c r="B32" s="183">
        <f>+'Resumen Ejecución  2023'!B100+'Resumen Ejecución  2023'!B35</f>
        <v>12913492</v>
      </c>
      <c r="C32" s="184">
        <f>+'Resumen Ejecución  2023'!C100+'Resumen Ejecución  2023'!C35</f>
        <v>5455163.4799999995</v>
      </c>
      <c r="D32" s="234">
        <f t="shared" si="2"/>
        <v>7458328.5200000005</v>
      </c>
      <c r="E32" s="235"/>
    </row>
    <row r="33" spans="1:5" thickBot="1" x14ac:dyDescent="0.3">
      <c r="A33" s="293" t="s">
        <v>325</v>
      </c>
      <c r="B33" s="239">
        <f>+'Resumen Ejecución  2023'!B36+'Resumen Ejecución  2023'!B101</f>
        <v>8048977.0199999996</v>
      </c>
      <c r="C33" s="294">
        <f>+'Resumen Ejecución  2023'!C36+'Resumen Ejecución  2023'!C101</f>
        <v>3418170.54</v>
      </c>
      <c r="D33" s="295">
        <f t="shared" si="2"/>
        <v>4630806.4799999995</v>
      </c>
      <c r="E33" s="314"/>
    </row>
    <row r="34" spans="1:5" thickBot="1" x14ac:dyDescent="0.3">
      <c r="A34" s="318" t="s">
        <v>328</v>
      </c>
      <c r="B34" s="299">
        <f>SUM(B35:B42)</f>
        <v>16355590</v>
      </c>
      <c r="C34" s="299">
        <f>SUM(C35:C42)</f>
        <v>10481496.299999999</v>
      </c>
      <c r="D34" s="299">
        <f>SUM(D35:D42)</f>
        <v>5874093.6999999993</v>
      </c>
      <c r="E34" s="319">
        <f>C34/B34</f>
        <v>0.64085100568062658</v>
      </c>
    </row>
    <row r="35" spans="1:5" ht="15" x14ac:dyDescent="0.25">
      <c r="A35" s="315" t="s">
        <v>329</v>
      </c>
      <c r="B35" s="229">
        <f>+'Resumen Ejecución  2023'!B103+'Resumen Ejecución  2023'!B40</f>
        <v>6805274</v>
      </c>
      <c r="C35" s="229">
        <f>+'Resumen Ejecución  2023'!C40+'Resumen Ejecución  2023'!C103</f>
        <v>4661671.2799999993</v>
      </c>
      <c r="D35" s="316">
        <f>B35-C35</f>
        <v>2143602.7200000007</v>
      </c>
      <c r="E35" s="317"/>
    </row>
    <row r="36" spans="1:5" ht="30" x14ac:dyDescent="0.25">
      <c r="A36" s="206" t="s">
        <v>376</v>
      </c>
      <c r="B36" s="239">
        <f>+'Resumen Ejecución  2023'!B41+'Resumen Ejecución  2023'!B104</f>
        <v>547960</v>
      </c>
      <c r="C36" s="239">
        <f>+'Resumen Ejecución  2023'!C41+'Resumen Ejecución  2023'!C104</f>
        <v>238610.62</v>
      </c>
      <c r="D36" s="347">
        <f>B36-C36</f>
        <v>309349.38</v>
      </c>
      <c r="E36" s="240"/>
    </row>
    <row r="37" spans="1:5" ht="15" x14ac:dyDescent="0.25">
      <c r="A37" s="206" t="s">
        <v>330</v>
      </c>
      <c r="B37" s="239">
        <f>+'Resumen Ejecución  2023'!B42</f>
        <v>112300</v>
      </c>
      <c r="C37" s="239">
        <f>+'Resumen Ejecución  2023'!C42</f>
        <v>87907.64</v>
      </c>
      <c r="D37" s="255">
        <f>B37-C37</f>
        <v>24392.36</v>
      </c>
      <c r="E37" s="240"/>
    </row>
    <row r="38" spans="1:5" ht="15" customHeight="1" x14ac:dyDescent="0.25">
      <c r="A38" s="280" t="s">
        <v>405</v>
      </c>
      <c r="B38" s="239">
        <f>+'Resumen Ejecución  2023'!B105+'Resumen Ejecución  2023'!B43</f>
        <v>2984950</v>
      </c>
      <c r="C38" s="239">
        <f>+'Resumen Ejecución  2023'!C43+'Resumen Ejecución  2023'!C105</f>
        <v>2980710</v>
      </c>
      <c r="D38" s="255">
        <f>B38-C38</f>
        <v>4240</v>
      </c>
      <c r="E38" s="240"/>
    </row>
    <row r="39" spans="1:5" ht="15" x14ac:dyDescent="0.25">
      <c r="A39" s="208" t="s">
        <v>331</v>
      </c>
      <c r="B39" s="27">
        <f>+'Resumen Ejecución  2023'!B44+'Resumen Ejecución  2023'!B106</f>
        <v>1420100</v>
      </c>
      <c r="C39" s="27">
        <f>+'Resumen Ejecución  2023'!C44</f>
        <v>926162.41</v>
      </c>
      <c r="D39" s="255">
        <f t="shared" ref="D39:D42" si="3">B39-C39</f>
        <v>493937.58999999997</v>
      </c>
      <c r="E39" s="240"/>
    </row>
    <row r="40" spans="1:5" ht="15" x14ac:dyDescent="0.25">
      <c r="A40" s="279" t="s">
        <v>402</v>
      </c>
      <c r="B40" s="27">
        <f>+'Resumen Ejecución  2023'!B45+'Resumen Ejecución  2023'!B107</f>
        <v>314000</v>
      </c>
      <c r="C40" s="27">
        <f>+'Resumen Ejecución  2023'!C45</f>
        <v>177039.12</v>
      </c>
      <c r="D40" s="255">
        <f t="shared" si="3"/>
        <v>136960.88</v>
      </c>
      <c r="E40" s="258"/>
    </row>
    <row r="41" spans="1:5" ht="15" x14ac:dyDescent="0.25">
      <c r="A41" s="279" t="s">
        <v>403</v>
      </c>
      <c r="B41" s="27">
        <f>+'Resumen Ejecución  2023'!B46</f>
        <v>2610000</v>
      </c>
      <c r="C41" s="27">
        <f>+'Resumen Ejecución  2023'!C46</f>
        <v>0</v>
      </c>
      <c r="D41" s="255">
        <f t="shared" si="3"/>
        <v>2610000</v>
      </c>
      <c r="E41" s="258"/>
    </row>
    <row r="42" spans="1:5" thickBot="1" x14ac:dyDescent="0.3">
      <c r="A42" s="320" t="s">
        <v>332</v>
      </c>
      <c r="B42" s="256">
        <f>+'Resumen Ejecución  2023'!B47</f>
        <v>1561006</v>
      </c>
      <c r="C42" s="256">
        <f>+'Resumen Ejecución  2023'!C47</f>
        <v>1409395.23</v>
      </c>
      <c r="D42" s="257">
        <f t="shared" si="3"/>
        <v>151610.77000000002</v>
      </c>
      <c r="E42" s="258"/>
    </row>
    <row r="43" spans="1:5" ht="19.5" customHeight="1" thickBot="1" x14ac:dyDescent="0.3">
      <c r="A43" s="321" t="s">
        <v>351</v>
      </c>
      <c r="B43" s="322">
        <f>B10+B16+B26+B34</f>
        <v>276532264.34000003</v>
      </c>
      <c r="C43" s="322">
        <f>C10+C16+C26+C34</f>
        <v>147984623.64000002</v>
      </c>
      <c r="D43" s="322">
        <f>D10+D16+D26+D34</f>
        <v>128547640.70000002</v>
      </c>
      <c r="E43" s="323">
        <f>+C43/B43</f>
        <v>0.53514415033339835</v>
      </c>
    </row>
    <row r="44" spans="1:5" ht="15.75" customHeight="1" thickBot="1" x14ac:dyDescent="0.3">
      <c r="A44" s="259"/>
      <c r="B44" s="4"/>
      <c r="C44" s="4"/>
      <c r="D44" s="4"/>
      <c r="E44" s="260"/>
    </row>
    <row r="45" spans="1:5" ht="18" customHeight="1" x14ac:dyDescent="0.25">
      <c r="A45" s="324" t="str">
        <f>+A10</f>
        <v xml:space="preserve">2.1-Remuneraciones y Contribuciones </v>
      </c>
      <c r="B45" s="325">
        <f>+B10</f>
        <v>183090277</v>
      </c>
      <c r="C45" s="325">
        <f>+C10</f>
        <v>102010060.97999999</v>
      </c>
      <c r="D45" s="325">
        <f>+D10</f>
        <v>81080216.020000011</v>
      </c>
      <c r="E45" s="326">
        <f>+C45/B45</f>
        <v>0.55715717214191551</v>
      </c>
    </row>
    <row r="46" spans="1:5" ht="18" customHeight="1" x14ac:dyDescent="0.25">
      <c r="A46" s="327" t="str">
        <f>+A16</f>
        <v xml:space="preserve">2.2-Contratación de Servicios </v>
      </c>
      <c r="B46" s="97">
        <f>+B16</f>
        <v>50510348.32</v>
      </c>
      <c r="C46" s="97">
        <f>+C16</f>
        <v>24001892.650000002</v>
      </c>
      <c r="D46" s="97">
        <f>+D16</f>
        <v>26508455.669999998</v>
      </c>
      <c r="E46" s="328">
        <f>+C46/B46</f>
        <v>0.47518762883874727</v>
      </c>
    </row>
    <row r="47" spans="1:5" ht="18" customHeight="1" x14ac:dyDescent="0.25">
      <c r="A47" s="329" t="str">
        <f>+A26</f>
        <v xml:space="preserve">2.3-Materiales y Suministros </v>
      </c>
      <c r="B47" s="97">
        <f>+B26</f>
        <v>26576049.02</v>
      </c>
      <c r="C47" s="97">
        <f>+C26</f>
        <v>11491173.710000001</v>
      </c>
      <c r="D47" s="97">
        <f>+D26</f>
        <v>15084875.309999999</v>
      </c>
      <c r="E47" s="328">
        <f t="shared" ref="E47:E48" si="4">+C47/B47</f>
        <v>0.4323883396419172</v>
      </c>
    </row>
    <row r="48" spans="1:5" ht="18" customHeight="1" thickBot="1" x14ac:dyDescent="0.3">
      <c r="A48" s="330" t="str">
        <f>+A34</f>
        <v>2.6-Bienes Muebles, Inmuebles e Intangibles</v>
      </c>
      <c r="B48" s="154">
        <f>+B34</f>
        <v>16355590</v>
      </c>
      <c r="C48" s="154">
        <f>+C34</f>
        <v>10481496.299999999</v>
      </c>
      <c r="D48" s="154">
        <f>+D34</f>
        <v>5874093.6999999993</v>
      </c>
      <c r="E48" s="331">
        <f t="shared" si="4"/>
        <v>0.64085100568062658</v>
      </c>
    </row>
    <row r="49" spans="1:5" ht="16.5" customHeight="1" thickBot="1" x14ac:dyDescent="0.3">
      <c r="A49" s="261" t="s">
        <v>356</v>
      </c>
      <c r="B49" s="332">
        <f>SUM(B45:B48)</f>
        <v>276532264.34000003</v>
      </c>
      <c r="C49" s="333">
        <f>SUM(C45:C48)</f>
        <v>147984623.64000002</v>
      </c>
      <c r="D49" s="333">
        <f>SUM(D45:D48)</f>
        <v>128547640.70000002</v>
      </c>
      <c r="E49" s="334">
        <f>+C49/B49</f>
        <v>0.53514415033339835</v>
      </c>
    </row>
    <row r="50" spans="1:5" ht="12.75" customHeight="1" x14ac:dyDescent="0.2">
      <c r="A50" s="262" t="s">
        <v>238</v>
      </c>
    </row>
    <row r="51" spans="1:5" ht="12.75" customHeight="1" x14ac:dyDescent="0.2">
      <c r="A51" s="263" t="s">
        <v>239</v>
      </c>
    </row>
    <row r="52" spans="1:5" ht="12.75" customHeight="1" x14ac:dyDescent="0.2">
      <c r="A52"/>
    </row>
    <row r="53" spans="1:5" ht="12.75" customHeight="1" x14ac:dyDescent="0.2"/>
    <row r="55" spans="1:5" ht="12.75" x14ac:dyDescent="0.2"/>
    <row r="56" spans="1:5" ht="12.75" x14ac:dyDescent="0.2">
      <c r="A56" s="264"/>
    </row>
    <row r="57" spans="1:5" ht="15" x14ac:dyDescent="0.25">
      <c r="A57" s="58" t="s">
        <v>334</v>
      </c>
    </row>
    <row r="58" spans="1:5" ht="15" x14ac:dyDescent="0.25">
      <c r="A58" s="58" t="s">
        <v>335</v>
      </c>
    </row>
    <row r="59" spans="1:5" ht="12.75" x14ac:dyDescent="0.2"/>
    <row r="60" spans="1:5" ht="12.75" x14ac:dyDescent="0.2"/>
    <row r="61" spans="1:5" ht="12.75" x14ac:dyDescent="0.2"/>
    <row r="62" spans="1:5" ht="12.75" x14ac:dyDescent="0.2"/>
    <row r="63" spans="1:5" ht="12.75" x14ac:dyDescent="0.2"/>
    <row r="64" spans="1:5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</sheetData>
  <mergeCells count="5">
    <mergeCell ref="A3:E3"/>
    <mergeCell ref="A4:E4"/>
    <mergeCell ref="A5:E5"/>
    <mergeCell ref="A6:E6"/>
    <mergeCell ref="D8:E8"/>
  </mergeCells>
  <printOptions horizontalCentered="1" verticalCentered="1"/>
  <pageMargins left="0.23622047244094499" right="0.23622047244094499" top="0.25" bottom="0.25" header="0" footer="0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1" ma:contentTypeDescription="Crear nuevo documento." ma:contentTypeScope="" ma:versionID="46ce2ad7164126644e1f6f52d205a131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5f2244ca47a4fe1361fe927156fff77b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F7ABC-D286-46E1-B80A-08E442806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226AE-6A02-46B4-83F3-568F76420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DF46CB-B0CC-4013-97D5-2B2E717CEB3F}">
  <ds:schemaRefs>
    <ds:schemaRef ds:uri="http://schemas.microsoft.com/office/infopath/2007/PartnerControls"/>
    <ds:schemaRef ds:uri="0c793e23-df10-4390-986f-47bd536e1b58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3538d54-75ba-4205-92b4-4d91886f6c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Ejecución Fondo 100</vt:lpstr>
      <vt:lpstr>Ejecución Fondo 102</vt:lpstr>
      <vt:lpstr>Resumen Ejecución  2023</vt:lpstr>
      <vt:lpstr>Ejecución Consolidada  2023</vt:lpstr>
      <vt:lpstr>'Resumen Ejecución  2023'!Área_de_impresión</vt:lpstr>
      <vt:lpstr>'Ejecución Consolidada  2023'!Títulos_a_imprimir</vt:lpstr>
      <vt:lpstr>'Ejecución Fondo 100'!Títulos_a_imprimir</vt:lpstr>
      <vt:lpstr>'Ejecución Fondo 102'!Títulos_a_imprimir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cp:lastPrinted>2023-09-07T15:51:47Z</cp:lastPrinted>
  <dcterms:created xsi:type="dcterms:W3CDTF">2023-01-06T16:25:41Z</dcterms:created>
  <dcterms:modified xsi:type="dcterms:W3CDTF">2025-09-29T17:24:28Z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