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ivision Administrativa/Almacen/Almacen de Insumos/Insumos/Material gastable 2023/Transparencia/"/>
    </mc:Choice>
  </mc:AlternateContent>
  <xr:revisionPtr revIDLastSave="1322" documentId="8_{80D34FED-ECF6-4422-95CB-9B415F6E2F23}" xr6:coauthVersionLast="47" xr6:coauthVersionMax="47" xr10:uidLastSave="{6F1E1A7C-352F-44DB-B1A4-E93D1DF4A536}"/>
  <bookViews>
    <workbookView xWindow="-120" yWindow="-120" windowWidth="20730" windowHeight="11040" xr2:uid="{24458236-51CA-4C4A-906A-C66A718A78A6}"/>
  </bookViews>
  <sheets>
    <sheet name="Relación mes de Mayo 2023" sheetId="5" r:id="rId1"/>
    <sheet name="Diferencia en cantidades" sheetId="9" state="hidden" r:id="rId2"/>
    <sheet name="Hoja3" sheetId="7" state="hidden" r:id="rId3"/>
    <sheet name="Hoja2" sheetId="6" state="hidden" r:id="rId4"/>
    <sheet name="Gastables" sheetId="3" state="hidden" r:id="rId5"/>
    <sheet name="Insumos" sheetId="4" state="hidden" r:id="rId6"/>
    <sheet name="Limpieza" sheetId="2" state="hidden" r:id="rId7"/>
  </sheets>
  <definedNames>
    <definedName name="_xlnm._FilterDatabase" localSheetId="3" hidden="1">Hoja2!$A$6:$J$6</definedName>
    <definedName name="_xlnm._FilterDatabase" localSheetId="0" hidden="1">'Relación mes de Mayo 2023'!$B$6:$J$165</definedName>
    <definedName name="_xlnm.Print_Area" localSheetId="1">'Diferencia en cantidades'!$A$2:$N$149</definedName>
    <definedName name="_xlnm.Print_Area" localSheetId="0">'Relación mes de Mayo 2023'!$B$1:$M$173</definedName>
    <definedName name="_xlnm.Print_Titles" localSheetId="1">'Diferencia en cantidades'!$6:$6</definedName>
    <definedName name="_xlnm.Print_Titles" localSheetId="0">'Relación mes de Mayo 2023'!$6:$6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5" l="1"/>
  <c r="G145" i="5"/>
  <c r="I11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I143" i="5"/>
  <c r="J143" i="5" s="1"/>
  <c r="G7" i="5"/>
  <c r="I7" i="5"/>
  <c r="J7" i="5" s="1"/>
  <c r="G166" i="5" l="1"/>
  <c r="H149" i="9"/>
  <c r="K149" i="9"/>
  <c r="E152" i="9" s="1"/>
  <c r="P51" i="9"/>
  <c r="P145" i="9"/>
  <c r="C149" i="9"/>
  <c r="E8" i="9"/>
  <c r="L8" i="9" s="1"/>
  <c r="E9" i="9"/>
  <c r="L9" i="9" s="1"/>
  <c r="E10" i="9"/>
  <c r="L10" i="9" s="1"/>
  <c r="E11" i="9"/>
  <c r="L11" i="9" s="1"/>
  <c r="E12" i="9"/>
  <c r="L12" i="9" s="1"/>
  <c r="E13" i="9"/>
  <c r="L13" i="9" s="1"/>
  <c r="E14" i="9"/>
  <c r="L14" i="9" s="1"/>
  <c r="E15" i="9"/>
  <c r="L15" i="9" s="1"/>
  <c r="E16" i="9"/>
  <c r="L16" i="9" s="1"/>
  <c r="E17" i="9"/>
  <c r="L17" i="9" s="1"/>
  <c r="E18" i="9"/>
  <c r="L18" i="9" s="1"/>
  <c r="E19" i="9"/>
  <c r="L19" i="9" s="1"/>
  <c r="E20" i="9"/>
  <c r="L20" i="9" s="1"/>
  <c r="E21" i="9"/>
  <c r="L21" i="9" s="1"/>
  <c r="E22" i="9"/>
  <c r="L22" i="9" s="1"/>
  <c r="E23" i="9"/>
  <c r="L23" i="9" s="1"/>
  <c r="E24" i="9"/>
  <c r="L24" i="9" s="1"/>
  <c r="E25" i="9"/>
  <c r="L25" i="9" s="1"/>
  <c r="E26" i="9"/>
  <c r="L26" i="9" s="1"/>
  <c r="E27" i="9"/>
  <c r="L27" i="9" s="1"/>
  <c r="E28" i="9"/>
  <c r="L28" i="9" s="1"/>
  <c r="E29" i="9"/>
  <c r="L29" i="9" s="1"/>
  <c r="E30" i="9"/>
  <c r="L30" i="9" s="1"/>
  <c r="E31" i="9"/>
  <c r="L31" i="9" s="1"/>
  <c r="E32" i="9"/>
  <c r="L32" i="9" s="1"/>
  <c r="E33" i="9"/>
  <c r="L33" i="9" s="1"/>
  <c r="E34" i="9"/>
  <c r="L34" i="9" s="1"/>
  <c r="E35" i="9"/>
  <c r="L35" i="9" s="1"/>
  <c r="E36" i="9"/>
  <c r="L36" i="9" s="1"/>
  <c r="E37" i="9"/>
  <c r="L37" i="9" s="1"/>
  <c r="E38" i="9"/>
  <c r="L38" i="9" s="1"/>
  <c r="E39" i="9"/>
  <c r="L39" i="9" s="1"/>
  <c r="E40" i="9"/>
  <c r="L40" i="9" s="1"/>
  <c r="E41" i="9"/>
  <c r="L41" i="9" s="1"/>
  <c r="E42" i="9"/>
  <c r="L42" i="9" s="1"/>
  <c r="E43" i="9"/>
  <c r="L43" i="9" s="1"/>
  <c r="E44" i="9"/>
  <c r="L44" i="9" s="1"/>
  <c r="E45" i="9"/>
  <c r="L45" i="9" s="1"/>
  <c r="E46" i="9"/>
  <c r="L46" i="9" s="1"/>
  <c r="E47" i="9"/>
  <c r="L47" i="9" s="1"/>
  <c r="E48" i="9"/>
  <c r="L48" i="9" s="1"/>
  <c r="E49" i="9"/>
  <c r="L49" i="9" s="1"/>
  <c r="E50" i="9"/>
  <c r="L50" i="9" s="1"/>
  <c r="E51" i="9"/>
  <c r="L51" i="9" s="1"/>
  <c r="E52" i="9"/>
  <c r="L52" i="9" s="1"/>
  <c r="E53" i="9"/>
  <c r="L53" i="9" s="1"/>
  <c r="E54" i="9"/>
  <c r="L54" i="9" s="1"/>
  <c r="E55" i="9"/>
  <c r="L55" i="9" s="1"/>
  <c r="E56" i="9"/>
  <c r="L56" i="9" s="1"/>
  <c r="E57" i="9"/>
  <c r="L57" i="9" s="1"/>
  <c r="E58" i="9"/>
  <c r="L58" i="9" s="1"/>
  <c r="E59" i="9"/>
  <c r="L59" i="9" s="1"/>
  <c r="E60" i="9"/>
  <c r="L60" i="9" s="1"/>
  <c r="E61" i="9"/>
  <c r="L61" i="9" s="1"/>
  <c r="E62" i="9"/>
  <c r="L62" i="9" s="1"/>
  <c r="E63" i="9"/>
  <c r="L63" i="9" s="1"/>
  <c r="E64" i="9"/>
  <c r="L64" i="9" s="1"/>
  <c r="E65" i="9"/>
  <c r="L65" i="9" s="1"/>
  <c r="E66" i="9"/>
  <c r="L66" i="9" s="1"/>
  <c r="E67" i="9"/>
  <c r="L67" i="9" s="1"/>
  <c r="E68" i="9"/>
  <c r="L68" i="9" s="1"/>
  <c r="E69" i="9"/>
  <c r="L69" i="9" s="1"/>
  <c r="E70" i="9"/>
  <c r="L70" i="9" s="1"/>
  <c r="E71" i="9"/>
  <c r="L71" i="9" s="1"/>
  <c r="E72" i="9"/>
  <c r="L72" i="9" s="1"/>
  <c r="E73" i="9"/>
  <c r="L73" i="9" s="1"/>
  <c r="E75" i="9"/>
  <c r="L75" i="9" s="1"/>
  <c r="E76" i="9"/>
  <c r="L76" i="9" s="1"/>
  <c r="E77" i="9"/>
  <c r="L77" i="9" s="1"/>
  <c r="E78" i="9"/>
  <c r="L78" i="9" s="1"/>
  <c r="E79" i="9"/>
  <c r="L79" i="9" s="1"/>
  <c r="E80" i="9"/>
  <c r="L80" i="9" s="1"/>
  <c r="E81" i="9"/>
  <c r="L81" i="9" s="1"/>
  <c r="E82" i="9"/>
  <c r="L82" i="9" s="1"/>
  <c r="E83" i="9"/>
  <c r="L83" i="9" s="1"/>
  <c r="E84" i="9"/>
  <c r="L84" i="9" s="1"/>
  <c r="E85" i="9"/>
  <c r="L85" i="9" s="1"/>
  <c r="E86" i="9"/>
  <c r="L86" i="9" s="1"/>
  <c r="E87" i="9"/>
  <c r="L87" i="9" s="1"/>
  <c r="E88" i="9"/>
  <c r="L88" i="9" s="1"/>
  <c r="E89" i="9"/>
  <c r="L89" i="9" s="1"/>
  <c r="E90" i="9"/>
  <c r="L90" i="9" s="1"/>
  <c r="E91" i="9"/>
  <c r="L91" i="9" s="1"/>
  <c r="E92" i="9"/>
  <c r="L92" i="9" s="1"/>
  <c r="E93" i="9"/>
  <c r="L93" i="9" s="1"/>
  <c r="E94" i="9"/>
  <c r="L94" i="9" s="1"/>
  <c r="E95" i="9"/>
  <c r="L95" i="9" s="1"/>
  <c r="E96" i="9"/>
  <c r="L96" i="9" s="1"/>
  <c r="E97" i="9"/>
  <c r="L97" i="9" s="1"/>
  <c r="E98" i="9"/>
  <c r="L98" i="9" s="1"/>
  <c r="E99" i="9"/>
  <c r="L99" i="9" s="1"/>
  <c r="E100" i="9"/>
  <c r="L100" i="9" s="1"/>
  <c r="E101" i="9"/>
  <c r="L101" i="9" s="1"/>
  <c r="E102" i="9"/>
  <c r="L102" i="9" s="1"/>
  <c r="E103" i="9"/>
  <c r="L103" i="9" s="1"/>
  <c r="E104" i="9"/>
  <c r="L104" i="9" s="1"/>
  <c r="E105" i="9"/>
  <c r="L105" i="9" s="1"/>
  <c r="E106" i="9"/>
  <c r="L106" i="9" s="1"/>
  <c r="E107" i="9"/>
  <c r="L107" i="9" s="1"/>
  <c r="E108" i="9"/>
  <c r="L108" i="9" s="1"/>
  <c r="E109" i="9"/>
  <c r="L109" i="9" s="1"/>
  <c r="E110" i="9"/>
  <c r="L110" i="9" s="1"/>
  <c r="E111" i="9"/>
  <c r="L111" i="9" s="1"/>
  <c r="E112" i="9"/>
  <c r="L112" i="9" s="1"/>
  <c r="E113" i="9"/>
  <c r="L113" i="9" s="1"/>
  <c r="E114" i="9"/>
  <c r="L114" i="9" s="1"/>
  <c r="E115" i="9"/>
  <c r="L115" i="9" s="1"/>
  <c r="E116" i="9"/>
  <c r="L116" i="9" s="1"/>
  <c r="E117" i="9"/>
  <c r="L117" i="9" s="1"/>
  <c r="E118" i="9"/>
  <c r="L118" i="9" s="1"/>
  <c r="E119" i="9"/>
  <c r="L119" i="9" s="1"/>
  <c r="E120" i="9"/>
  <c r="L120" i="9" s="1"/>
  <c r="E121" i="9"/>
  <c r="L121" i="9" s="1"/>
  <c r="E122" i="9"/>
  <c r="L122" i="9" s="1"/>
  <c r="E123" i="9"/>
  <c r="L123" i="9" s="1"/>
  <c r="E124" i="9"/>
  <c r="L124" i="9" s="1"/>
  <c r="E125" i="9"/>
  <c r="L125" i="9" s="1"/>
  <c r="E126" i="9"/>
  <c r="L126" i="9" s="1"/>
  <c r="E127" i="9"/>
  <c r="L127" i="9" s="1"/>
  <c r="E128" i="9"/>
  <c r="L128" i="9" s="1"/>
  <c r="E129" i="9"/>
  <c r="L129" i="9" s="1"/>
  <c r="E130" i="9"/>
  <c r="L130" i="9" s="1"/>
  <c r="E131" i="9"/>
  <c r="L131" i="9" s="1"/>
  <c r="E132" i="9"/>
  <c r="L132" i="9" s="1"/>
  <c r="E133" i="9"/>
  <c r="L133" i="9" s="1"/>
  <c r="E134" i="9"/>
  <c r="L134" i="9" s="1"/>
  <c r="E135" i="9"/>
  <c r="L135" i="9" s="1"/>
  <c r="E136" i="9"/>
  <c r="L136" i="9" s="1"/>
  <c r="E137" i="9"/>
  <c r="L137" i="9" s="1"/>
  <c r="E138" i="9"/>
  <c r="L138" i="9" s="1"/>
  <c r="E139" i="9"/>
  <c r="L139" i="9" s="1"/>
  <c r="E140" i="9"/>
  <c r="L140" i="9" s="1"/>
  <c r="E141" i="9"/>
  <c r="L141" i="9" s="1"/>
  <c r="E142" i="9"/>
  <c r="L142" i="9" s="1"/>
  <c r="E143" i="9"/>
  <c r="L143" i="9" s="1"/>
  <c r="E144" i="9"/>
  <c r="E145" i="9"/>
  <c r="E146" i="9"/>
  <c r="L146" i="9" s="1"/>
  <c r="E147" i="9"/>
  <c r="L147" i="9" s="1"/>
  <c r="E148" i="9"/>
  <c r="L148" i="9" s="1"/>
  <c r="E7" i="9"/>
  <c r="L7" i="9" s="1"/>
  <c r="N148" i="9"/>
  <c r="I148" i="9"/>
  <c r="J148" i="9" s="1"/>
  <c r="G148" i="9"/>
  <c r="N147" i="9"/>
  <c r="I147" i="9"/>
  <c r="J147" i="9" s="1"/>
  <c r="G147" i="9"/>
  <c r="N146" i="9"/>
  <c r="I146" i="9"/>
  <c r="J146" i="9" s="1"/>
  <c r="G146" i="9"/>
  <c r="N145" i="9"/>
  <c r="I145" i="9"/>
  <c r="J145" i="9" s="1"/>
  <c r="G145" i="9"/>
  <c r="N144" i="9"/>
  <c r="I144" i="9"/>
  <c r="J144" i="9" s="1"/>
  <c r="G144" i="9"/>
  <c r="N143" i="9"/>
  <c r="I143" i="9"/>
  <c r="J143" i="9" s="1"/>
  <c r="F143" i="9"/>
  <c r="G143" i="9" s="1"/>
  <c r="N142" i="9"/>
  <c r="I142" i="9"/>
  <c r="J142" i="9" s="1"/>
  <c r="G142" i="9"/>
  <c r="N141" i="9"/>
  <c r="I141" i="9"/>
  <c r="J141" i="9" s="1"/>
  <c r="F141" i="9"/>
  <c r="G141" i="9" s="1"/>
  <c r="N140" i="9"/>
  <c r="I140" i="9"/>
  <c r="J140" i="9" s="1"/>
  <c r="F140" i="9"/>
  <c r="G140" i="9" s="1"/>
  <c r="N139" i="9"/>
  <c r="I139" i="9"/>
  <c r="J139" i="9" s="1"/>
  <c r="G139" i="9"/>
  <c r="N138" i="9"/>
  <c r="I138" i="9"/>
  <c r="J138" i="9" s="1"/>
  <c r="G138" i="9"/>
  <c r="N137" i="9"/>
  <c r="I137" i="9"/>
  <c r="J137" i="9" s="1"/>
  <c r="G137" i="9"/>
  <c r="N136" i="9"/>
  <c r="I136" i="9"/>
  <c r="J136" i="9" s="1"/>
  <c r="G136" i="9"/>
  <c r="N135" i="9"/>
  <c r="I135" i="9"/>
  <c r="J135" i="9" s="1"/>
  <c r="G135" i="9"/>
  <c r="N134" i="9"/>
  <c r="I134" i="9"/>
  <c r="J134" i="9" s="1"/>
  <c r="G134" i="9"/>
  <c r="N133" i="9"/>
  <c r="I133" i="9"/>
  <c r="J133" i="9" s="1"/>
  <c r="G133" i="9"/>
  <c r="N132" i="9"/>
  <c r="I132" i="9"/>
  <c r="J132" i="9" s="1"/>
  <c r="G132" i="9"/>
  <c r="N131" i="9"/>
  <c r="I131" i="9"/>
  <c r="J131" i="9" s="1"/>
  <c r="G131" i="9"/>
  <c r="N130" i="9"/>
  <c r="F130" i="9"/>
  <c r="G130" i="9" s="1"/>
  <c r="N129" i="9"/>
  <c r="F129" i="9"/>
  <c r="G129" i="9" s="1"/>
  <c r="N128" i="9"/>
  <c r="I128" i="9"/>
  <c r="J128" i="9" s="1"/>
  <c r="G128" i="9"/>
  <c r="N127" i="9"/>
  <c r="I127" i="9"/>
  <c r="J127" i="9" s="1"/>
  <c r="F127" i="9"/>
  <c r="G127" i="9" s="1"/>
  <c r="N126" i="9"/>
  <c r="I126" i="9"/>
  <c r="J126" i="9" s="1"/>
  <c r="F126" i="9"/>
  <c r="G126" i="9" s="1"/>
  <c r="N125" i="9"/>
  <c r="I125" i="9"/>
  <c r="J125" i="9" s="1"/>
  <c r="G125" i="9"/>
  <c r="N124" i="9"/>
  <c r="I124" i="9"/>
  <c r="J124" i="9" s="1"/>
  <c r="G124" i="9"/>
  <c r="N123" i="9"/>
  <c r="I123" i="9"/>
  <c r="J123" i="9" s="1"/>
  <c r="G123" i="9"/>
  <c r="N122" i="9"/>
  <c r="F122" i="9"/>
  <c r="G122" i="9" s="1"/>
  <c r="N121" i="9"/>
  <c r="F121" i="9"/>
  <c r="G121" i="9" s="1"/>
  <c r="N120" i="9"/>
  <c r="I120" i="9"/>
  <c r="J120" i="9" s="1"/>
  <c r="G120" i="9"/>
  <c r="N119" i="9"/>
  <c r="I119" i="9"/>
  <c r="J119" i="9" s="1"/>
  <c r="G119" i="9"/>
  <c r="N118" i="9"/>
  <c r="I118" i="9"/>
  <c r="J118" i="9" s="1"/>
  <c r="G118" i="9"/>
  <c r="N117" i="9"/>
  <c r="I117" i="9"/>
  <c r="J117" i="9" s="1"/>
  <c r="G117" i="9"/>
  <c r="N116" i="9"/>
  <c r="I116" i="9"/>
  <c r="J116" i="9" s="1"/>
  <c r="G116" i="9"/>
  <c r="N115" i="9"/>
  <c r="I115" i="9"/>
  <c r="J115" i="9" s="1"/>
  <c r="G115" i="9"/>
  <c r="N114" i="9"/>
  <c r="I114" i="9"/>
  <c r="J114" i="9" s="1"/>
  <c r="G114" i="9"/>
  <c r="N113" i="9"/>
  <c r="I113" i="9"/>
  <c r="J113" i="9" s="1"/>
  <c r="G113" i="9"/>
  <c r="N112" i="9"/>
  <c r="I112" i="9"/>
  <c r="J112" i="9" s="1"/>
  <c r="G112" i="9"/>
  <c r="N111" i="9"/>
  <c r="I111" i="9"/>
  <c r="J111" i="9" s="1"/>
  <c r="F111" i="9"/>
  <c r="G111" i="9" s="1"/>
  <c r="N110" i="9"/>
  <c r="I110" i="9"/>
  <c r="J110" i="9" s="1"/>
  <c r="F110" i="9"/>
  <c r="G110" i="9" s="1"/>
  <c r="N109" i="9"/>
  <c r="F109" i="9"/>
  <c r="G109" i="9" s="1"/>
  <c r="N108" i="9"/>
  <c r="I108" i="9"/>
  <c r="J108" i="9" s="1"/>
  <c r="G108" i="9"/>
  <c r="N107" i="9"/>
  <c r="I107" i="9"/>
  <c r="J107" i="9" s="1"/>
  <c r="F107" i="9"/>
  <c r="G107" i="9" s="1"/>
  <c r="N106" i="9"/>
  <c r="I106" i="9"/>
  <c r="J106" i="9" s="1"/>
  <c r="G106" i="9"/>
  <c r="N105" i="9"/>
  <c r="I105" i="9"/>
  <c r="J105" i="9" s="1"/>
  <c r="G105" i="9"/>
  <c r="N104" i="9"/>
  <c r="I104" i="9"/>
  <c r="J104" i="9" s="1"/>
  <c r="G104" i="9"/>
  <c r="N103" i="9"/>
  <c r="N102" i="9"/>
  <c r="F102" i="9"/>
  <c r="G102" i="9" s="1"/>
  <c r="N101" i="9"/>
  <c r="F101" i="9"/>
  <c r="G101" i="9" s="1"/>
  <c r="N100" i="9"/>
  <c r="I100" i="9"/>
  <c r="J100" i="9" s="1"/>
  <c r="F100" i="9"/>
  <c r="G100" i="9" s="1"/>
  <c r="N99" i="9"/>
  <c r="I99" i="9"/>
  <c r="J99" i="9" s="1"/>
  <c r="G99" i="9"/>
  <c r="N98" i="9"/>
  <c r="I98" i="9"/>
  <c r="J98" i="9" s="1"/>
  <c r="G98" i="9"/>
  <c r="N97" i="9"/>
  <c r="I97" i="9"/>
  <c r="J97" i="9" s="1"/>
  <c r="G97" i="9"/>
  <c r="N96" i="9"/>
  <c r="F96" i="9"/>
  <c r="G96" i="9" s="1"/>
  <c r="N95" i="9"/>
  <c r="I95" i="9"/>
  <c r="J95" i="9" s="1"/>
  <c r="G95" i="9"/>
  <c r="N94" i="9"/>
  <c r="I94" i="9"/>
  <c r="J94" i="9" s="1"/>
  <c r="G94" i="9"/>
  <c r="N93" i="9"/>
  <c r="I93" i="9"/>
  <c r="J93" i="9" s="1"/>
  <c r="G93" i="9"/>
  <c r="N92" i="9"/>
  <c r="I92" i="9"/>
  <c r="J92" i="9" s="1"/>
  <c r="F92" i="9"/>
  <c r="G92" i="9" s="1"/>
  <c r="N91" i="9"/>
  <c r="I91" i="9"/>
  <c r="J91" i="9" s="1"/>
  <c r="G91" i="9"/>
  <c r="N90" i="9"/>
  <c r="I90" i="9"/>
  <c r="J90" i="9" s="1"/>
  <c r="F90" i="9"/>
  <c r="G90" i="9" s="1"/>
  <c r="N89" i="9"/>
  <c r="I89" i="9"/>
  <c r="J89" i="9" s="1"/>
  <c r="F89" i="9"/>
  <c r="G89" i="9" s="1"/>
  <c r="N88" i="9"/>
  <c r="I88" i="9"/>
  <c r="J88" i="9" s="1"/>
  <c r="G88" i="9"/>
  <c r="N87" i="9"/>
  <c r="I87" i="9"/>
  <c r="J87" i="9" s="1"/>
  <c r="G87" i="9"/>
  <c r="N86" i="9"/>
  <c r="I86" i="9"/>
  <c r="J86" i="9" s="1"/>
  <c r="F86" i="9"/>
  <c r="G86" i="9" s="1"/>
  <c r="N85" i="9"/>
  <c r="I85" i="9"/>
  <c r="J85" i="9" s="1"/>
  <c r="F85" i="9"/>
  <c r="G85" i="9" s="1"/>
  <c r="N84" i="9"/>
  <c r="F84" i="9"/>
  <c r="G84" i="9" s="1"/>
  <c r="N83" i="9"/>
  <c r="I83" i="9"/>
  <c r="J83" i="9" s="1"/>
  <c r="G83" i="9"/>
  <c r="N82" i="9"/>
  <c r="I82" i="9"/>
  <c r="J82" i="9" s="1"/>
  <c r="G82" i="9"/>
  <c r="N81" i="9"/>
  <c r="I81" i="9"/>
  <c r="J81" i="9" s="1"/>
  <c r="G81" i="9"/>
  <c r="N80" i="9"/>
  <c r="I80" i="9"/>
  <c r="J80" i="9" s="1"/>
  <c r="G80" i="9"/>
  <c r="N79" i="9"/>
  <c r="I79" i="9"/>
  <c r="J79" i="9" s="1"/>
  <c r="F79" i="9"/>
  <c r="G79" i="9" s="1"/>
  <c r="N78" i="9"/>
  <c r="I78" i="9"/>
  <c r="J78" i="9" s="1"/>
  <c r="F78" i="9"/>
  <c r="G78" i="9" s="1"/>
  <c r="N77" i="9"/>
  <c r="I77" i="9"/>
  <c r="J77" i="9" s="1"/>
  <c r="G77" i="9"/>
  <c r="N76" i="9"/>
  <c r="I76" i="9"/>
  <c r="J76" i="9" s="1"/>
  <c r="G76" i="9"/>
  <c r="N75" i="9"/>
  <c r="I75" i="9"/>
  <c r="J75" i="9" s="1"/>
  <c r="G75" i="9"/>
  <c r="N74" i="9"/>
  <c r="I74" i="9"/>
  <c r="J74" i="9" s="1"/>
  <c r="D74" i="9"/>
  <c r="F74" i="9" s="1"/>
  <c r="G74" i="9" s="1"/>
  <c r="N73" i="9"/>
  <c r="I73" i="9"/>
  <c r="J73" i="9" s="1"/>
  <c r="G73" i="9"/>
  <c r="N72" i="9"/>
  <c r="J72" i="9"/>
  <c r="F72" i="9"/>
  <c r="G72" i="9" s="1"/>
  <c r="N71" i="9"/>
  <c r="I71" i="9"/>
  <c r="J71" i="9" s="1"/>
  <c r="G71" i="9"/>
  <c r="N70" i="9"/>
  <c r="I70" i="9"/>
  <c r="J70" i="9" s="1"/>
  <c r="G70" i="9"/>
  <c r="N69" i="9"/>
  <c r="I69" i="9"/>
  <c r="J69" i="9" s="1"/>
  <c r="G69" i="9"/>
  <c r="N68" i="9"/>
  <c r="I68" i="9"/>
  <c r="J68" i="9" s="1"/>
  <c r="G68" i="9"/>
  <c r="N67" i="9"/>
  <c r="I67" i="9"/>
  <c r="J67" i="9" s="1"/>
  <c r="G67" i="9"/>
  <c r="N66" i="9"/>
  <c r="I66" i="9"/>
  <c r="J66" i="9" s="1"/>
  <c r="F66" i="9"/>
  <c r="G66" i="9" s="1"/>
  <c r="N65" i="9"/>
  <c r="N64" i="9"/>
  <c r="I64" i="9"/>
  <c r="J64" i="9" s="1"/>
  <c r="G64" i="9"/>
  <c r="N63" i="9"/>
  <c r="I63" i="9"/>
  <c r="J63" i="9" s="1"/>
  <c r="F63" i="9"/>
  <c r="G63" i="9" s="1"/>
  <c r="N62" i="9"/>
  <c r="I62" i="9"/>
  <c r="J62" i="9" s="1"/>
  <c r="G62" i="9"/>
  <c r="N61" i="9"/>
  <c r="I61" i="9"/>
  <c r="J61" i="9" s="1"/>
  <c r="F61" i="9"/>
  <c r="G61" i="9" s="1"/>
  <c r="N60" i="9"/>
  <c r="I60" i="9"/>
  <c r="J60" i="9" s="1"/>
  <c r="G60" i="9"/>
  <c r="N59" i="9"/>
  <c r="I59" i="9"/>
  <c r="J59" i="9" s="1"/>
  <c r="G59" i="9"/>
  <c r="N58" i="9"/>
  <c r="I58" i="9"/>
  <c r="J58" i="9" s="1"/>
  <c r="G58" i="9"/>
  <c r="N57" i="9"/>
  <c r="I57" i="9"/>
  <c r="J57" i="9" s="1"/>
  <c r="G57" i="9"/>
  <c r="N56" i="9"/>
  <c r="I56" i="9"/>
  <c r="J56" i="9" s="1"/>
  <c r="G56" i="9"/>
  <c r="N55" i="9"/>
  <c r="I55" i="9"/>
  <c r="J55" i="9" s="1"/>
  <c r="G55" i="9"/>
  <c r="N54" i="9"/>
  <c r="I54" i="9"/>
  <c r="J54" i="9" s="1"/>
  <c r="G54" i="9"/>
  <c r="N53" i="9"/>
  <c r="I53" i="9"/>
  <c r="J53" i="9" s="1"/>
  <c r="F53" i="9"/>
  <c r="G53" i="9" s="1"/>
  <c r="N52" i="9"/>
  <c r="I52" i="9"/>
  <c r="J52" i="9" s="1"/>
  <c r="G52" i="9"/>
  <c r="N51" i="9"/>
  <c r="I51" i="9"/>
  <c r="J51" i="9" s="1"/>
  <c r="G51" i="9"/>
  <c r="N50" i="9"/>
  <c r="I50" i="9"/>
  <c r="J50" i="9" s="1"/>
  <c r="F50" i="9"/>
  <c r="G50" i="9" s="1"/>
  <c r="N49" i="9"/>
  <c r="I49" i="9"/>
  <c r="J49" i="9" s="1"/>
  <c r="G49" i="9"/>
  <c r="N48" i="9"/>
  <c r="I48" i="9"/>
  <c r="J48" i="9" s="1"/>
  <c r="F48" i="9"/>
  <c r="G48" i="9" s="1"/>
  <c r="N47" i="9"/>
  <c r="I47" i="9"/>
  <c r="J47" i="9" s="1"/>
  <c r="G47" i="9"/>
  <c r="N46" i="9"/>
  <c r="I46" i="9"/>
  <c r="J46" i="9" s="1"/>
  <c r="G46" i="9"/>
  <c r="N45" i="9"/>
  <c r="I45" i="9"/>
  <c r="J45" i="9" s="1"/>
  <c r="G45" i="9"/>
  <c r="N44" i="9"/>
  <c r="I44" i="9"/>
  <c r="J44" i="9" s="1"/>
  <c r="G44" i="9"/>
  <c r="N43" i="9"/>
  <c r="I43" i="9"/>
  <c r="J43" i="9" s="1"/>
  <c r="G43" i="9"/>
  <c r="N42" i="9"/>
  <c r="I42" i="9"/>
  <c r="J42" i="9" s="1"/>
  <c r="G42" i="9"/>
  <c r="N41" i="9"/>
  <c r="F41" i="9"/>
  <c r="G41" i="9" s="1"/>
  <c r="N40" i="9"/>
  <c r="I40" i="9"/>
  <c r="J40" i="9" s="1"/>
  <c r="G40" i="9"/>
  <c r="N39" i="9"/>
  <c r="I39" i="9"/>
  <c r="J39" i="9" s="1"/>
  <c r="G39" i="9"/>
  <c r="N38" i="9"/>
  <c r="J38" i="9"/>
  <c r="G38" i="9"/>
  <c r="N37" i="9"/>
  <c r="I37" i="9"/>
  <c r="J37" i="9" s="1"/>
  <c r="G37" i="9"/>
  <c r="N36" i="9"/>
  <c r="I36" i="9"/>
  <c r="J36" i="9" s="1"/>
  <c r="G36" i="9"/>
  <c r="N35" i="9"/>
  <c r="I35" i="9"/>
  <c r="J35" i="9" s="1"/>
  <c r="F35" i="9"/>
  <c r="G35" i="9" s="1"/>
  <c r="N34" i="9"/>
  <c r="F34" i="9"/>
  <c r="G34" i="9" s="1"/>
  <c r="N33" i="9"/>
  <c r="I33" i="9"/>
  <c r="J33" i="9" s="1"/>
  <c r="F33" i="9"/>
  <c r="G33" i="9" s="1"/>
  <c r="N32" i="9"/>
  <c r="N31" i="9"/>
  <c r="F31" i="9"/>
  <c r="G31" i="9" s="1"/>
  <c r="N30" i="9"/>
  <c r="I30" i="9"/>
  <c r="J30" i="9" s="1"/>
  <c r="G30" i="9"/>
  <c r="N29" i="9"/>
  <c r="I29" i="9"/>
  <c r="J29" i="9" s="1"/>
  <c r="F29" i="9"/>
  <c r="G29" i="9" s="1"/>
  <c r="N28" i="9"/>
  <c r="I28" i="9"/>
  <c r="J28" i="9" s="1"/>
  <c r="G28" i="9"/>
  <c r="N27" i="9"/>
  <c r="I27" i="9"/>
  <c r="J27" i="9" s="1"/>
  <c r="G27" i="9"/>
  <c r="N26" i="9"/>
  <c r="F26" i="9"/>
  <c r="G26" i="9" s="1"/>
  <c r="N25" i="9"/>
  <c r="I25" i="9"/>
  <c r="J25" i="9" s="1"/>
  <c r="F25" i="9"/>
  <c r="G25" i="9" s="1"/>
  <c r="N24" i="9"/>
  <c r="F24" i="9"/>
  <c r="G24" i="9" s="1"/>
  <c r="N23" i="9"/>
  <c r="I23" i="9"/>
  <c r="J23" i="9" s="1"/>
  <c r="G23" i="9"/>
  <c r="N22" i="9"/>
  <c r="I22" i="9"/>
  <c r="J22" i="9" s="1"/>
  <c r="G22" i="9"/>
  <c r="N21" i="9"/>
  <c r="N20" i="9"/>
  <c r="I20" i="9"/>
  <c r="J20" i="9" s="1"/>
  <c r="G20" i="9"/>
  <c r="N19" i="9"/>
  <c r="F19" i="9"/>
  <c r="G19" i="9" s="1"/>
  <c r="N18" i="9"/>
  <c r="I18" i="9"/>
  <c r="J18" i="9" s="1"/>
  <c r="G18" i="9"/>
  <c r="N17" i="9"/>
  <c r="F17" i="9"/>
  <c r="G17" i="9" s="1"/>
  <c r="N16" i="9"/>
  <c r="I16" i="9"/>
  <c r="J16" i="9" s="1"/>
  <c r="G16" i="9"/>
  <c r="N15" i="9"/>
  <c r="N14" i="9"/>
  <c r="I14" i="9"/>
  <c r="J14" i="9" s="1"/>
  <c r="G14" i="9"/>
  <c r="N13" i="9"/>
  <c r="I13" i="9"/>
  <c r="J13" i="9" s="1"/>
  <c r="G13" i="9"/>
  <c r="N12" i="9"/>
  <c r="F12" i="9"/>
  <c r="G12" i="9" s="1"/>
  <c r="N11" i="9"/>
  <c r="I11" i="9"/>
  <c r="J11" i="9" s="1"/>
  <c r="N10" i="9"/>
  <c r="I10" i="9"/>
  <c r="J10" i="9" s="1"/>
  <c r="G10" i="9"/>
  <c r="N9" i="9"/>
  <c r="F9" i="9"/>
  <c r="G9" i="9" s="1"/>
  <c r="G149" i="9" s="1"/>
  <c r="N8" i="9"/>
  <c r="I8" i="9"/>
  <c r="J8" i="9" s="1"/>
  <c r="I7" i="9"/>
  <c r="J7" i="9" s="1"/>
  <c r="M7" i="9" s="1"/>
  <c r="N7" i="9" s="1"/>
  <c r="J149" i="9" l="1"/>
  <c r="F149" i="9"/>
  <c r="I149" i="9"/>
  <c r="D149" i="9"/>
  <c r="E74" i="9"/>
  <c r="N149" i="9"/>
  <c r="E149" i="9" l="1"/>
  <c r="E151" i="9" s="1"/>
  <c r="L74" i="9"/>
  <c r="L149" i="9" s="1"/>
  <c r="I155" i="5"/>
  <c r="I153" i="5"/>
  <c r="Z138" i="7"/>
  <c r="Z139" i="7"/>
  <c r="Z140" i="7"/>
  <c r="Z141" i="7"/>
  <c r="Z142" i="7"/>
  <c r="Z143" i="7"/>
  <c r="Z144" i="7"/>
  <c r="Z145" i="7"/>
  <c r="Z146" i="7"/>
  <c r="Z147" i="7"/>
  <c r="Z148" i="7"/>
  <c r="Z149" i="7"/>
  <c r="Z150" i="7"/>
  <c r="Z151" i="7"/>
  <c r="Z152" i="7"/>
  <c r="Z153" i="7"/>
  <c r="Z154" i="7"/>
  <c r="Z155" i="7"/>
  <c r="Z156" i="7"/>
  <c r="Z157" i="7"/>
  <c r="Z158" i="7"/>
  <c r="Z159" i="7"/>
  <c r="Z137" i="7"/>
  <c r="Z126" i="7"/>
  <c r="Z127" i="7"/>
  <c r="Z128" i="7"/>
  <c r="Z129" i="7"/>
  <c r="Z130" i="7"/>
  <c r="Z131" i="7"/>
  <c r="Z132" i="7"/>
  <c r="Z133" i="7"/>
  <c r="Z134" i="7"/>
  <c r="Z135" i="7"/>
  <c r="Z136" i="7"/>
  <c r="Z122" i="7"/>
  <c r="Z123" i="7"/>
  <c r="Z99" i="7"/>
  <c r="Z103" i="7"/>
  <c r="Z119" i="7"/>
  <c r="Z73" i="7"/>
  <c r="Z64" i="7"/>
  <c r="Z45" i="7"/>
  <c r="Z39" i="7"/>
  <c r="Z37" i="7"/>
  <c r="Z20" i="7"/>
  <c r="F7" i="3"/>
  <c r="I12" i="5"/>
  <c r="J12" i="5" s="1"/>
  <c r="W159" i="7"/>
  <c r="X159" i="7" s="1"/>
  <c r="Y159" i="7" s="1"/>
  <c r="W158" i="7"/>
  <c r="X158" i="7" s="1"/>
  <c r="Y158" i="7" s="1"/>
  <c r="W157" i="7"/>
  <c r="X157" i="7" s="1"/>
  <c r="Y157" i="7" s="1"/>
  <c r="W156" i="7"/>
  <c r="X156" i="7" s="1"/>
  <c r="Y156" i="7" s="1"/>
  <c r="W155" i="7"/>
  <c r="X155" i="7" s="1"/>
  <c r="Y155" i="7" s="1"/>
  <c r="W154" i="7"/>
  <c r="X154" i="7" s="1"/>
  <c r="Y154" i="7" s="1"/>
  <c r="W152" i="7"/>
  <c r="X152" i="7" s="1"/>
  <c r="Y152" i="7" s="1"/>
  <c r="W153" i="7"/>
  <c r="X153" i="7" s="1"/>
  <c r="Y153" i="7" s="1"/>
  <c r="W151" i="7"/>
  <c r="X151" i="7" s="1"/>
  <c r="Y151" i="7" s="1"/>
  <c r="W146" i="7"/>
  <c r="X146" i="7" s="1"/>
  <c r="Y146" i="7" s="1"/>
  <c r="W150" i="7"/>
  <c r="X150" i="7" s="1"/>
  <c r="Y150" i="7" s="1"/>
  <c r="W148" i="7"/>
  <c r="X148" i="7" s="1"/>
  <c r="Y148" i="7" s="1"/>
  <c r="W149" i="7"/>
  <c r="X149" i="7" s="1"/>
  <c r="Y149" i="7" s="1"/>
  <c r="W143" i="7"/>
  <c r="X143" i="7" s="1"/>
  <c r="Y143" i="7" s="1"/>
  <c r="W142" i="7"/>
  <c r="X142" i="7" s="1"/>
  <c r="Y142" i="7" s="1"/>
  <c r="W145" i="7"/>
  <c r="X145" i="7" s="1"/>
  <c r="Y145" i="7" s="1"/>
  <c r="W144" i="7"/>
  <c r="X144" i="7" s="1"/>
  <c r="Y144" i="7" s="1"/>
  <c r="W147" i="7"/>
  <c r="X147" i="7" s="1"/>
  <c r="Y147" i="7" s="1"/>
  <c r="W139" i="7"/>
  <c r="X139" i="7" s="1"/>
  <c r="Y139" i="7" s="1"/>
  <c r="W140" i="7"/>
  <c r="X140" i="7" s="1"/>
  <c r="Y140" i="7" s="1"/>
  <c r="W141" i="7"/>
  <c r="X141" i="7" s="1"/>
  <c r="Y141" i="7" s="1"/>
  <c r="W138" i="7"/>
  <c r="X138" i="7" s="1"/>
  <c r="Y138" i="7" s="1"/>
  <c r="W137" i="7"/>
  <c r="X137" i="7" s="1"/>
  <c r="Y137" i="7" s="1"/>
  <c r="W136" i="7"/>
  <c r="X136" i="7" s="1"/>
  <c r="Y136" i="7" s="1"/>
  <c r="W134" i="7"/>
  <c r="X134" i="7" s="1"/>
  <c r="Y134" i="7" s="1"/>
  <c r="W135" i="7"/>
  <c r="X135" i="7" s="1"/>
  <c r="Y135" i="7" s="1"/>
  <c r="W130" i="7"/>
  <c r="X130" i="7" s="1"/>
  <c r="Y130" i="7" s="1"/>
  <c r="W129" i="7"/>
  <c r="X129" i="7" s="1"/>
  <c r="Y129" i="7" s="1"/>
  <c r="W128" i="7"/>
  <c r="X128" i="7" s="1"/>
  <c r="Y128" i="7" s="1"/>
  <c r="W133" i="7"/>
  <c r="X133" i="7" s="1"/>
  <c r="Y133" i="7" s="1"/>
  <c r="W132" i="7"/>
  <c r="X132" i="7" s="1"/>
  <c r="Y132" i="7" s="1"/>
  <c r="W131" i="7"/>
  <c r="X131" i="7" s="1"/>
  <c r="Y131" i="7" s="1"/>
  <c r="W126" i="7"/>
  <c r="X126" i="7" s="1"/>
  <c r="Y126" i="7" s="1"/>
  <c r="W125" i="7"/>
  <c r="X125" i="7" s="1"/>
  <c r="Y125" i="7" s="1"/>
  <c r="W124" i="7"/>
  <c r="X124" i="7" s="1"/>
  <c r="Y124" i="7" s="1"/>
  <c r="W122" i="7"/>
  <c r="X122" i="7" s="1"/>
  <c r="Y122" i="7" s="1"/>
  <c r="W120" i="7"/>
  <c r="X120" i="7" s="1"/>
  <c r="Y120" i="7" s="1"/>
  <c r="W121" i="7"/>
  <c r="X121" i="7" s="1"/>
  <c r="Y121" i="7" s="1"/>
  <c r="W119" i="7"/>
  <c r="X119" i="7" s="1"/>
  <c r="Y119" i="7" s="1"/>
  <c r="W118" i="7"/>
  <c r="X118" i="7" s="1"/>
  <c r="Y118" i="7" s="1"/>
  <c r="W117" i="7"/>
  <c r="X117" i="7" s="1"/>
  <c r="Y117" i="7" s="1"/>
  <c r="W110" i="7"/>
  <c r="X110" i="7" s="1"/>
  <c r="Y110" i="7" s="1"/>
  <c r="W112" i="7"/>
  <c r="X112" i="7" s="1"/>
  <c r="Y112" i="7" s="1"/>
  <c r="W111" i="7"/>
  <c r="X111" i="7" s="1"/>
  <c r="Y111" i="7" s="1"/>
  <c r="W115" i="7"/>
  <c r="X115" i="7" s="1"/>
  <c r="Y115" i="7" s="1"/>
  <c r="W114" i="7"/>
  <c r="X114" i="7" s="1"/>
  <c r="Y114" i="7" s="1"/>
  <c r="W116" i="7"/>
  <c r="X116" i="7" s="1"/>
  <c r="Y116" i="7" s="1"/>
  <c r="W113" i="7"/>
  <c r="X113" i="7" s="1"/>
  <c r="Y113" i="7" s="1"/>
  <c r="W103" i="7"/>
  <c r="X103" i="7" s="1"/>
  <c r="Y103" i="7" s="1"/>
  <c r="W105" i="7"/>
  <c r="X105" i="7" s="1"/>
  <c r="Y105" i="7" s="1"/>
  <c r="W104" i="7"/>
  <c r="X104" i="7" s="1"/>
  <c r="Y104" i="7" s="1"/>
  <c r="W109" i="7"/>
  <c r="X109" i="7" s="1"/>
  <c r="Y109" i="7" s="1"/>
  <c r="W108" i="7"/>
  <c r="X108" i="7" s="1"/>
  <c r="Y108" i="7" s="1"/>
  <c r="W102" i="7"/>
  <c r="X102" i="7" s="1"/>
  <c r="Y102" i="7" s="1"/>
  <c r="W99" i="7"/>
  <c r="X99" i="7" s="1"/>
  <c r="Y99" i="7" s="1"/>
  <c r="W100" i="7"/>
  <c r="X100" i="7" s="1"/>
  <c r="Y100" i="7" s="1"/>
  <c r="W107" i="7"/>
  <c r="X107" i="7" s="1"/>
  <c r="Y107" i="7" s="1"/>
  <c r="W106" i="7"/>
  <c r="X106" i="7" s="1"/>
  <c r="Y106" i="7" s="1"/>
  <c r="W101" i="7"/>
  <c r="X101" i="7" s="1"/>
  <c r="Y101" i="7" s="1"/>
  <c r="W98" i="7"/>
  <c r="X98" i="7" s="1"/>
  <c r="Y98" i="7" s="1"/>
  <c r="W97" i="7"/>
  <c r="X97" i="7" s="1"/>
  <c r="Y97" i="7" s="1"/>
  <c r="W96" i="7"/>
  <c r="X96" i="7" s="1"/>
  <c r="Y96" i="7" s="1"/>
  <c r="W95" i="7"/>
  <c r="X95" i="7" s="1"/>
  <c r="Y95" i="7" s="1"/>
  <c r="W94" i="7"/>
  <c r="X94" i="7" s="1"/>
  <c r="Y94" i="7" s="1"/>
  <c r="W93" i="7"/>
  <c r="X93" i="7" s="1"/>
  <c r="Y93" i="7" s="1"/>
  <c r="W92" i="7"/>
  <c r="X92" i="7" s="1"/>
  <c r="Y92" i="7" s="1"/>
  <c r="W90" i="7"/>
  <c r="X90" i="7" s="1"/>
  <c r="Y90" i="7" s="1"/>
  <c r="W91" i="7"/>
  <c r="X91" i="7" s="1"/>
  <c r="Y91" i="7" s="1"/>
  <c r="W86" i="7"/>
  <c r="X86" i="7" s="1"/>
  <c r="Y86" i="7" s="1"/>
  <c r="W87" i="7"/>
  <c r="X87" i="7" s="1"/>
  <c r="Y87" i="7" s="1"/>
  <c r="W88" i="7"/>
  <c r="X88" i="7" s="1"/>
  <c r="Y88" i="7" s="1"/>
  <c r="W89" i="7"/>
  <c r="X89" i="7" s="1"/>
  <c r="Y89" i="7" s="1"/>
  <c r="W80" i="7"/>
  <c r="X80" i="7" s="1"/>
  <c r="Y80" i="7" s="1"/>
  <c r="W85" i="7"/>
  <c r="X85" i="7" s="1"/>
  <c r="Y85" i="7" s="1"/>
  <c r="W84" i="7"/>
  <c r="X84" i="7" s="1"/>
  <c r="Y84" i="7" s="1"/>
  <c r="W83" i="7"/>
  <c r="X83" i="7" s="1"/>
  <c r="Y83" i="7" s="1"/>
  <c r="X82" i="7"/>
  <c r="Y82" i="7" s="1"/>
  <c r="W81" i="7"/>
  <c r="X81" i="7" s="1"/>
  <c r="Y81" i="7" s="1"/>
  <c r="W79" i="7"/>
  <c r="X79" i="7" s="1"/>
  <c r="Y79" i="7" s="1"/>
  <c r="W78" i="7"/>
  <c r="X78" i="7" s="1"/>
  <c r="Y78" i="7" s="1"/>
  <c r="W77" i="7"/>
  <c r="X77" i="7" s="1"/>
  <c r="Y77" i="7" s="1"/>
  <c r="W75" i="7"/>
  <c r="X75" i="7" s="1"/>
  <c r="Y75" i="7" s="1"/>
  <c r="W76" i="7"/>
  <c r="X76" i="7" s="1"/>
  <c r="Y76" i="7" s="1"/>
  <c r="W72" i="7"/>
  <c r="X72" i="7" s="1"/>
  <c r="Y72" i="7" s="1"/>
  <c r="W71" i="7"/>
  <c r="X71" i="7" s="1"/>
  <c r="Y71" i="7" s="1"/>
  <c r="W74" i="7"/>
  <c r="X74" i="7" s="1"/>
  <c r="Y74" i="7" s="1"/>
  <c r="W70" i="7"/>
  <c r="X70" i="7" s="1"/>
  <c r="Y70" i="7" s="1"/>
  <c r="W69" i="7"/>
  <c r="X69" i="7" s="1"/>
  <c r="Y69" i="7" s="1"/>
  <c r="W68" i="7"/>
  <c r="X68" i="7" s="1"/>
  <c r="Y68" i="7" s="1"/>
  <c r="W67" i="7"/>
  <c r="X67" i="7" s="1"/>
  <c r="Y67" i="7" s="1"/>
  <c r="W66" i="7"/>
  <c r="X66" i="7" s="1"/>
  <c r="Y66" i="7" s="1"/>
  <c r="W61" i="7"/>
  <c r="X61" i="7" s="1"/>
  <c r="Y61" i="7" s="1"/>
  <c r="W63" i="7"/>
  <c r="X63" i="7" s="1"/>
  <c r="Y63" i="7" s="1"/>
  <c r="W62" i="7"/>
  <c r="X62" i="7" s="1"/>
  <c r="Y62" i="7" s="1"/>
  <c r="W65" i="7"/>
  <c r="X65" i="7" s="1"/>
  <c r="Y65" i="7" s="1"/>
  <c r="W60" i="7"/>
  <c r="X60" i="7" s="1"/>
  <c r="Y60" i="7" s="1"/>
  <c r="W59" i="7"/>
  <c r="X59" i="7" s="1"/>
  <c r="W58" i="7"/>
  <c r="X58" i="7" s="1"/>
  <c r="Y58" i="7" s="1"/>
  <c r="W57" i="7"/>
  <c r="X57" i="7" s="1"/>
  <c r="Y57" i="7" s="1"/>
  <c r="X56" i="7"/>
  <c r="Y56" i="7" s="1"/>
  <c r="W55" i="7"/>
  <c r="X55" i="7" s="1"/>
  <c r="Y55" i="7" s="1"/>
  <c r="W51" i="7"/>
  <c r="X51" i="7" s="1"/>
  <c r="Y51" i="7" s="1"/>
  <c r="W52" i="7"/>
  <c r="X52" i="7" s="1"/>
  <c r="Y52" i="7" s="1"/>
  <c r="W53" i="7"/>
  <c r="X53" i="7" s="1"/>
  <c r="Y53" i="7" s="1"/>
  <c r="W54" i="7"/>
  <c r="X54" i="7" s="1"/>
  <c r="Y54" i="7" s="1"/>
  <c r="W48" i="7"/>
  <c r="X48" i="7" s="1"/>
  <c r="Y48" i="7" s="1"/>
  <c r="W49" i="7"/>
  <c r="X49" i="7" s="1"/>
  <c r="Y49" i="7" s="1"/>
  <c r="W50" i="7"/>
  <c r="X50" i="7" s="1"/>
  <c r="Y50" i="7" s="1"/>
  <c r="W47" i="7"/>
  <c r="X47" i="7" s="1"/>
  <c r="Y47" i="7" s="1"/>
  <c r="W46" i="7"/>
  <c r="X46" i="7" s="1"/>
  <c r="Y46" i="7" s="1"/>
  <c r="W44" i="7"/>
  <c r="X44" i="7" s="1"/>
  <c r="Y44" i="7" s="1"/>
  <c r="W43" i="7"/>
  <c r="X43" i="7" s="1"/>
  <c r="Y43" i="7" s="1"/>
  <c r="W42" i="7"/>
  <c r="X42" i="7" s="1"/>
  <c r="Y42" i="7" s="1"/>
  <c r="W41" i="7"/>
  <c r="X41" i="7" s="1"/>
  <c r="Y41" i="7" s="1"/>
  <c r="W36" i="7"/>
  <c r="X36" i="7" s="1"/>
  <c r="Y36" i="7" s="1"/>
  <c r="W35" i="7"/>
  <c r="X35" i="7" s="1"/>
  <c r="Y35" i="7" s="1"/>
  <c r="X34" i="7"/>
  <c r="Y34" i="7" s="1"/>
  <c r="W33" i="7"/>
  <c r="X33" i="7" s="1"/>
  <c r="Y33" i="7" s="1"/>
  <c r="W38" i="7"/>
  <c r="X38" i="7" s="1"/>
  <c r="Y38" i="7" s="1"/>
  <c r="W40" i="7"/>
  <c r="X40" i="7" s="1"/>
  <c r="Y40" i="7" s="1"/>
  <c r="W32" i="7"/>
  <c r="X32" i="7" s="1"/>
  <c r="Y32" i="7" s="1"/>
  <c r="W31" i="7"/>
  <c r="X31" i="7" s="1"/>
  <c r="Y31" i="7" s="1"/>
  <c r="W30" i="7"/>
  <c r="X30" i="7" s="1"/>
  <c r="Y30" i="7" s="1"/>
  <c r="W29" i="7"/>
  <c r="X29" i="7" s="1"/>
  <c r="Y29" i="7" s="1"/>
  <c r="W28" i="7"/>
  <c r="X28" i="7" s="1"/>
  <c r="W26" i="7"/>
  <c r="X26" i="7" s="1"/>
  <c r="Y26" i="7" s="1"/>
  <c r="W25" i="7"/>
  <c r="X25" i="7" s="1"/>
  <c r="Y25" i="7" s="1"/>
  <c r="W27" i="7"/>
  <c r="X27" i="7" s="1"/>
  <c r="Y27" i="7" s="1"/>
  <c r="W24" i="7"/>
  <c r="X24" i="7" s="1"/>
  <c r="Y24" i="7" s="1"/>
  <c r="W23" i="7"/>
  <c r="X23" i="7" s="1"/>
  <c r="Y23" i="7" s="1"/>
  <c r="W22" i="7"/>
  <c r="X22" i="7" s="1"/>
  <c r="Z22" i="7" s="1"/>
  <c r="W21" i="7"/>
  <c r="X21" i="7" s="1"/>
  <c r="Y21" i="7" s="1"/>
  <c r="W19" i="7"/>
  <c r="X19" i="7" s="1"/>
  <c r="W17" i="7"/>
  <c r="X17" i="7" s="1"/>
  <c r="Y17" i="7" s="1"/>
  <c r="W18" i="7"/>
  <c r="X18" i="7" s="1"/>
  <c r="Y18" i="7" s="1"/>
  <c r="W16" i="7"/>
  <c r="X16" i="7" s="1"/>
  <c r="Y16" i="7" s="1"/>
  <c r="W15" i="7"/>
  <c r="X15" i="7" s="1"/>
  <c r="Y15" i="7" s="1"/>
  <c r="W14" i="7"/>
  <c r="X14" i="7" s="1"/>
  <c r="Y14" i="7" s="1"/>
  <c r="W12" i="7"/>
  <c r="X12" i="7" s="1"/>
  <c r="W13" i="7"/>
  <c r="X13" i="7" s="1"/>
  <c r="Y13" i="7" s="1"/>
  <c r="W11" i="7"/>
  <c r="X11" i="7" s="1"/>
  <c r="Y11" i="7" s="1"/>
  <c r="W10" i="7"/>
  <c r="X10" i="7" s="1"/>
  <c r="Y10" i="7" s="1"/>
  <c r="W9" i="7"/>
  <c r="X9" i="7" s="1"/>
  <c r="W8" i="7"/>
  <c r="X8" i="7" s="1"/>
  <c r="Y8" i="7" s="1"/>
  <c r="W7" i="7"/>
  <c r="X7" i="7" s="1"/>
  <c r="Y7" i="7" s="1"/>
  <c r="J160" i="7"/>
  <c r="L159" i="7"/>
  <c r="H159" i="7"/>
  <c r="I159" i="7" s="1"/>
  <c r="F159" i="7"/>
  <c r="L158" i="7"/>
  <c r="H158" i="7"/>
  <c r="I158" i="7" s="1"/>
  <c r="F158" i="7"/>
  <c r="L157" i="7"/>
  <c r="H157" i="7"/>
  <c r="I157" i="7" s="1"/>
  <c r="F157" i="7"/>
  <c r="L156" i="7"/>
  <c r="H156" i="7"/>
  <c r="I156" i="7" s="1"/>
  <c r="F156" i="7"/>
  <c r="L155" i="7"/>
  <c r="H155" i="7"/>
  <c r="I155" i="7" s="1"/>
  <c r="F155" i="7"/>
  <c r="L154" i="7"/>
  <c r="H154" i="7"/>
  <c r="I154" i="7" s="1"/>
  <c r="E154" i="7"/>
  <c r="F154" i="7" s="1"/>
  <c r="L153" i="7"/>
  <c r="H153" i="7"/>
  <c r="I153" i="7" s="1"/>
  <c r="F153" i="7"/>
  <c r="L152" i="7"/>
  <c r="H152" i="7"/>
  <c r="I152" i="7" s="1"/>
  <c r="E152" i="7"/>
  <c r="F152" i="7" s="1"/>
  <c r="L151" i="7"/>
  <c r="H151" i="7"/>
  <c r="I151" i="7" s="1"/>
  <c r="E151" i="7"/>
  <c r="F151" i="7" s="1"/>
  <c r="L150" i="7"/>
  <c r="I150" i="7"/>
  <c r="F150" i="7"/>
  <c r="L149" i="7"/>
  <c r="H149" i="7"/>
  <c r="I149" i="7" s="1"/>
  <c r="F149" i="7"/>
  <c r="L148" i="7"/>
  <c r="I148" i="7"/>
  <c r="F148" i="7"/>
  <c r="L147" i="7"/>
  <c r="H147" i="7"/>
  <c r="I147" i="7" s="1"/>
  <c r="F147" i="7"/>
  <c r="L146" i="7"/>
  <c r="H146" i="7"/>
  <c r="I146" i="7" s="1"/>
  <c r="F146" i="7"/>
  <c r="L145" i="7"/>
  <c r="H145" i="7"/>
  <c r="I145" i="7" s="1"/>
  <c r="F145" i="7"/>
  <c r="L144" i="7"/>
  <c r="H144" i="7"/>
  <c r="I144" i="7" s="1"/>
  <c r="F144" i="7"/>
  <c r="L143" i="7"/>
  <c r="H143" i="7"/>
  <c r="I143" i="7" s="1"/>
  <c r="F143" i="7"/>
  <c r="L142" i="7"/>
  <c r="H142" i="7"/>
  <c r="I142" i="7" s="1"/>
  <c r="F142" i="7"/>
  <c r="L141" i="7"/>
  <c r="E141" i="7"/>
  <c r="F141" i="7" s="1"/>
  <c r="L140" i="7"/>
  <c r="E140" i="7"/>
  <c r="F140" i="7" s="1"/>
  <c r="L139" i="7"/>
  <c r="H139" i="7"/>
  <c r="I139" i="7" s="1"/>
  <c r="F139" i="7"/>
  <c r="L138" i="7"/>
  <c r="H138" i="7"/>
  <c r="I138" i="7" s="1"/>
  <c r="E138" i="7"/>
  <c r="F138" i="7" s="1"/>
  <c r="L137" i="7"/>
  <c r="H137" i="7"/>
  <c r="I137" i="7" s="1"/>
  <c r="E137" i="7"/>
  <c r="F137" i="7" s="1"/>
  <c r="L136" i="7"/>
  <c r="H136" i="7"/>
  <c r="I136" i="7" s="1"/>
  <c r="F136" i="7"/>
  <c r="L135" i="7"/>
  <c r="H135" i="7"/>
  <c r="I135" i="7" s="1"/>
  <c r="F135" i="7"/>
  <c r="L134" i="7"/>
  <c r="H134" i="7"/>
  <c r="I134" i="7" s="1"/>
  <c r="F134" i="7"/>
  <c r="L132" i="7"/>
  <c r="E132" i="7"/>
  <c r="F132" i="7" s="1"/>
  <c r="L131" i="7"/>
  <c r="E131" i="7"/>
  <c r="F131" i="7" s="1"/>
  <c r="L133" i="7"/>
  <c r="H133" i="7"/>
  <c r="I133" i="7" s="1"/>
  <c r="F133" i="7"/>
  <c r="L130" i="7"/>
  <c r="H130" i="7"/>
  <c r="I130" i="7" s="1"/>
  <c r="F130" i="7"/>
  <c r="L129" i="7"/>
  <c r="H129" i="7"/>
  <c r="I129" i="7" s="1"/>
  <c r="F129" i="7"/>
  <c r="L128" i="7"/>
  <c r="H128" i="7"/>
  <c r="I128" i="7" s="1"/>
  <c r="F128" i="7"/>
  <c r="L127" i="7"/>
  <c r="H127" i="7"/>
  <c r="I127" i="7" s="1"/>
  <c r="F127" i="7"/>
  <c r="L126" i="7"/>
  <c r="H126" i="7"/>
  <c r="I126" i="7" s="1"/>
  <c r="F126" i="7"/>
  <c r="L125" i="7"/>
  <c r="H125" i="7"/>
  <c r="I125" i="7" s="1"/>
  <c r="F125" i="7"/>
  <c r="L124" i="7"/>
  <c r="H124" i="7"/>
  <c r="I124" i="7" s="1"/>
  <c r="F124" i="7"/>
  <c r="L123" i="7"/>
  <c r="H123" i="7"/>
  <c r="I123" i="7" s="1"/>
  <c r="F123" i="7"/>
  <c r="L122" i="7"/>
  <c r="H122" i="7"/>
  <c r="I122" i="7" s="1"/>
  <c r="F122" i="7"/>
  <c r="L121" i="7"/>
  <c r="H121" i="7"/>
  <c r="I121" i="7" s="1"/>
  <c r="F121" i="7"/>
  <c r="L120" i="7"/>
  <c r="H120" i="7"/>
  <c r="I120" i="7" s="1"/>
  <c r="E120" i="7"/>
  <c r="F120" i="7" s="1"/>
  <c r="L119" i="7"/>
  <c r="H119" i="7"/>
  <c r="I119" i="7" s="1"/>
  <c r="E119" i="7"/>
  <c r="F119" i="7" s="1"/>
  <c r="L118" i="7"/>
  <c r="E118" i="7"/>
  <c r="F118" i="7" s="1"/>
  <c r="L117" i="7"/>
  <c r="H117" i="7"/>
  <c r="I117" i="7" s="1"/>
  <c r="F117" i="7"/>
  <c r="L116" i="7"/>
  <c r="H116" i="7"/>
  <c r="I116" i="7" s="1"/>
  <c r="E116" i="7"/>
  <c r="F116" i="7" s="1"/>
  <c r="L115" i="7"/>
  <c r="H115" i="7"/>
  <c r="I115" i="7" s="1"/>
  <c r="F115" i="7"/>
  <c r="L114" i="7"/>
  <c r="H114" i="7"/>
  <c r="I114" i="7" s="1"/>
  <c r="F114" i="7"/>
  <c r="L113" i="7"/>
  <c r="H113" i="7"/>
  <c r="I113" i="7" s="1"/>
  <c r="F113" i="7"/>
  <c r="L110" i="7"/>
  <c r="L112" i="7"/>
  <c r="E112" i="7"/>
  <c r="F112" i="7" s="1"/>
  <c r="L111" i="7"/>
  <c r="E111" i="7"/>
  <c r="F111" i="7" s="1"/>
  <c r="L109" i="7"/>
  <c r="H109" i="7"/>
  <c r="I109" i="7" s="1"/>
  <c r="F109" i="7"/>
  <c r="L107" i="7"/>
  <c r="H107" i="7"/>
  <c r="I107" i="7" s="1"/>
  <c r="E107" i="7"/>
  <c r="F107" i="7" s="1"/>
  <c r="L106" i="7"/>
  <c r="H106" i="7"/>
  <c r="I106" i="7" s="1"/>
  <c r="F106" i="7"/>
  <c r="L105" i="7"/>
  <c r="H105" i="7"/>
  <c r="I105" i="7" s="1"/>
  <c r="F105" i="7"/>
  <c r="L104" i="7"/>
  <c r="H104" i="7"/>
  <c r="I104" i="7" s="1"/>
  <c r="F104" i="7"/>
  <c r="L108" i="7"/>
  <c r="E108" i="7"/>
  <c r="F108" i="7" s="1"/>
  <c r="L103" i="7"/>
  <c r="H103" i="7"/>
  <c r="I103" i="7" s="1"/>
  <c r="F103" i="7"/>
  <c r="L102" i="7"/>
  <c r="H102" i="7"/>
  <c r="I102" i="7" s="1"/>
  <c r="F102" i="7"/>
  <c r="L101" i="7"/>
  <c r="H101" i="7"/>
  <c r="I101" i="7" s="1"/>
  <c r="F101" i="7"/>
  <c r="L100" i="7"/>
  <c r="H100" i="7"/>
  <c r="I100" i="7" s="1"/>
  <c r="E100" i="7"/>
  <c r="F100" i="7" s="1"/>
  <c r="L99" i="7"/>
  <c r="H99" i="7"/>
  <c r="I99" i="7" s="1"/>
  <c r="F99" i="7"/>
  <c r="L98" i="7"/>
  <c r="H98" i="7"/>
  <c r="I98" i="7" s="1"/>
  <c r="E98" i="7"/>
  <c r="F98" i="7" s="1"/>
  <c r="L97" i="7"/>
  <c r="H97" i="7"/>
  <c r="I97" i="7" s="1"/>
  <c r="E97" i="7"/>
  <c r="F97" i="7" s="1"/>
  <c r="L96" i="7"/>
  <c r="H96" i="7"/>
  <c r="I96" i="7" s="1"/>
  <c r="F96" i="7"/>
  <c r="L95" i="7"/>
  <c r="H95" i="7"/>
  <c r="I95" i="7" s="1"/>
  <c r="F95" i="7"/>
  <c r="L94" i="7"/>
  <c r="H94" i="7"/>
  <c r="I94" i="7" s="1"/>
  <c r="E94" i="7"/>
  <c r="F94" i="7" s="1"/>
  <c r="L93" i="7"/>
  <c r="H93" i="7"/>
  <c r="I93" i="7" s="1"/>
  <c r="E93" i="7"/>
  <c r="F93" i="7" s="1"/>
  <c r="L92" i="7"/>
  <c r="E92" i="7"/>
  <c r="F92" i="7" s="1"/>
  <c r="L91" i="7"/>
  <c r="H91" i="7"/>
  <c r="I91" i="7" s="1"/>
  <c r="F91" i="7"/>
  <c r="L90" i="7"/>
  <c r="H90" i="7"/>
  <c r="I90" i="7" s="1"/>
  <c r="F90" i="7"/>
  <c r="L89" i="7"/>
  <c r="H89" i="7"/>
  <c r="I89" i="7" s="1"/>
  <c r="F89" i="7"/>
  <c r="L88" i="7"/>
  <c r="H88" i="7"/>
  <c r="I88" i="7" s="1"/>
  <c r="F88" i="7"/>
  <c r="L87" i="7"/>
  <c r="H87" i="7"/>
  <c r="I87" i="7" s="1"/>
  <c r="E87" i="7"/>
  <c r="F87" i="7" s="1"/>
  <c r="L86" i="7"/>
  <c r="H86" i="7"/>
  <c r="I86" i="7" s="1"/>
  <c r="E86" i="7"/>
  <c r="F86" i="7" s="1"/>
  <c r="L85" i="7"/>
  <c r="H85" i="7"/>
  <c r="I85" i="7" s="1"/>
  <c r="F85" i="7"/>
  <c r="L84" i="7"/>
  <c r="H84" i="7"/>
  <c r="I84" i="7" s="1"/>
  <c r="F84" i="7"/>
  <c r="L83" i="7"/>
  <c r="H83" i="7"/>
  <c r="I83" i="7" s="1"/>
  <c r="F83" i="7"/>
  <c r="L82" i="7"/>
  <c r="H82" i="7"/>
  <c r="I82" i="7" s="1"/>
  <c r="D82" i="7"/>
  <c r="L81" i="7"/>
  <c r="H81" i="7"/>
  <c r="I81" i="7" s="1"/>
  <c r="F81" i="7"/>
  <c r="L80" i="7"/>
  <c r="I80" i="7"/>
  <c r="E80" i="7"/>
  <c r="F80" i="7" s="1"/>
  <c r="L79" i="7"/>
  <c r="H79" i="7"/>
  <c r="I79" i="7" s="1"/>
  <c r="F79" i="7"/>
  <c r="L78" i="7"/>
  <c r="H78" i="7"/>
  <c r="I78" i="7" s="1"/>
  <c r="F78" i="7"/>
  <c r="L77" i="7"/>
  <c r="H77" i="7"/>
  <c r="I77" i="7" s="1"/>
  <c r="F77" i="7"/>
  <c r="L76" i="7"/>
  <c r="H76" i="7"/>
  <c r="I76" i="7" s="1"/>
  <c r="F76" i="7"/>
  <c r="L75" i="7"/>
  <c r="H75" i="7"/>
  <c r="I75" i="7" s="1"/>
  <c r="F75" i="7"/>
  <c r="L74" i="7"/>
  <c r="H74" i="7"/>
  <c r="I74" i="7" s="1"/>
  <c r="E74" i="7"/>
  <c r="F74" i="7" s="1"/>
  <c r="L71" i="7"/>
  <c r="L73" i="7"/>
  <c r="H73" i="7"/>
  <c r="I73" i="7" s="1"/>
  <c r="F73" i="7"/>
  <c r="L72" i="7"/>
  <c r="H72" i="7"/>
  <c r="I72" i="7" s="1"/>
  <c r="F72" i="7"/>
  <c r="L70" i="7"/>
  <c r="H70" i="7"/>
  <c r="I70" i="7" s="1"/>
  <c r="E70" i="7"/>
  <c r="F70" i="7" s="1"/>
  <c r="L69" i="7"/>
  <c r="H69" i="7"/>
  <c r="I69" i="7" s="1"/>
  <c r="F69" i="7"/>
  <c r="L68" i="7"/>
  <c r="H68" i="7"/>
  <c r="I68" i="7" s="1"/>
  <c r="E68" i="7"/>
  <c r="F68" i="7" s="1"/>
  <c r="L67" i="7"/>
  <c r="H67" i="7"/>
  <c r="I67" i="7" s="1"/>
  <c r="F67" i="7"/>
  <c r="L66" i="7"/>
  <c r="H66" i="7"/>
  <c r="I66" i="7" s="1"/>
  <c r="F66" i="7"/>
  <c r="L65" i="7"/>
  <c r="H65" i="7"/>
  <c r="I65" i="7" s="1"/>
  <c r="F65" i="7"/>
  <c r="L64" i="7"/>
  <c r="H64" i="7"/>
  <c r="I64" i="7" s="1"/>
  <c r="F64" i="7"/>
  <c r="L63" i="7"/>
  <c r="H63" i="7"/>
  <c r="I63" i="7" s="1"/>
  <c r="F63" i="7"/>
  <c r="L62" i="7"/>
  <c r="H62" i="7"/>
  <c r="I62" i="7" s="1"/>
  <c r="F62" i="7"/>
  <c r="L61" i="7"/>
  <c r="H61" i="7"/>
  <c r="I61" i="7" s="1"/>
  <c r="F61" i="7"/>
  <c r="L60" i="7"/>
  <c r="H60" i="7"/>
  <c r="I60" i="7" s="1"/>
  <c r="F60" i="7"/>
  <c r="L59" i="7"/>
  <c r="H59" i="7"/>
  <c r="I59" i="7" s="1"/>
  <c r="E59" i="7"/>
  <c r="F59" i="7" s="1"/>
  <c r="L58" i="7"/>
  <c r="H58" i="7"/>
  <c r="I58" i="7" s="1"/>
  <c r="F58" i="7"/>
  <c r="L57" i="7"/>
  <c r="H57" i="7"/>
  <c r="I57" i="7" s="1"/>
  <c r="F57" i="7"/>
  <c r="L56" i="7"/>
  <c r="H56" i="7"/>
  <c r="I56" i="7" s="1"/>
  <c r="E56" i="7"/>
  <c r="F56" i="7" s="1"/>
  <c r="L55" i="7"/>
  <c r="H55" i="7"/>
  <c r="I55" i="7" s="1"/>
  <c r="F55" i="7"/>
  <c r="L54" i="7"/>
  <c r="H54" i="7"/>
  <c r="I54" i="7" s="1"/>
  <c r="E54" i="7"/>
  <c r="F54" i="7" s="1"/>
  <c r="L53" i="7"/>
  <c r="H53" i="7"/>
  <c r="I53" i="7" s="1"/>
  <c r="F53" i="7"/>
  <c r="L52" i="7"/>
  <c r="H52" i="7"/>
  <c r="I52" i="7" s="1"/>
  <c r="F52" i="7"/>
  <c r="L51" i="7"/>
  <c r="H51" i="7"/>
  <c r="I51" i="7" s="1"/>
  <c r="F51" i="7"/>
  <c r="L50" i="7"/>
  <c r="H50" i="7"/>
  <c r="I50" i="7" s="1"/>
  <c r="F50" i="7"/>
  <c r="L49" i="7"/>
  <c r="H49" i="7"/>
  <c r="I49" i="7" s="1"/>
  <c r="F49" i="7"/>
  <c r="L48" i="7"/>
  <c r="H48" i="7"/>
  <c r="I48" i="7" s="1"/>
  <c r="F48" i="7"/>
  <c r="L42" i="7"/>
  <c r="E42" i="7"/>
  <c r="F42" i="7" s="1"/>
  <c r="L47" i="7"/>
  <c r="H47" i="7"/>
  <c r="I47" i="7" s="1"/>
  <c r="F47" i="7"/>
  <c r="L46" i="7"/>
  <c r="H46" i="7"/>
  <c r="I46" i="7" s="1"/>
  <c r="F46" i="7"/>
  <c r="L45" i="7"/>
  <c r="H45" i="7"/>
  <c r="I45" i="7" s="1"/>
  <c r="F45" i="7"/>
  <c r="L44" i="7"/>
  <c r="I44" i="7"/>
  <c r="F44" i="7"/>
  <c r="L43" i="7"/>
  <c r="H43" i="7"/>
  <c r="I43" i="7" s="1"/>
  <c r="F43" i="7"/>
  <c r="L41" i="7"/>
  <c r="H41" i="7"/>
  <c r="I41" i="7" s="1"/>
  <c r="F41" i="7"/>
  <c r="L39" i="7"/>
  <c r="H39" i="7"/>
  <c r="I39" i="7" s="1"/>
  <c r="F39" i="7"/>
  <c r="L37" i="7"/>
  <c r="H37" i="7"/>
  <c r="I37" i="7" s="1"/>
  <c r="F37" i="7"/>
  <c r="L36" i="7"/>
  <c r="H36" i="7"/>
  <c r="I36" i="7" s="1"/>
  <c r="E36" i="7"/>
  <c r="F36" i="7" s="1"/>
  <c r="L38" i="7"/>
  <c r="E38" i="7"/>
  <c r="F38" i="7" s="1"/>
  <c r="L35" i="7"/>
  <c r="H35" i="7"/>
  <c r="I35" i="7" s="1"/>
  <c r="E35" i="7"/>
  <c r="F35" i="7" s="1"/>
  <c r="L34" i="7"/>
  <c r="L40" i="7"/>
  <c r="E40" i="7"/>
  <c r="F40" i="7" s="1"/>
  <c r="L33" i="7"/>
  <c r="H33" i="7"/>
  <c r="I33" i="7" s="1"/>
  <c r="F33" i="7"/>
  <c r="L32" i="7"/>
  <c r="H32" i="7"/>
  <c r="I32" i="7" s="1"/>
  <c r="E32" i="7"/>
  <c r="F32" i="7" s="1"/>
  <c r="L31" i="7"/>
  <c r="H31" i="7"/>
  <c r="I31" i="7" s="1"/>
  <c r="F31" i="7"/>
  <c r="L30" i="7"/>
  <c r="H30" i="7"/>
  <c r="I30" i="7" s="1"/>
  <c r="F30" i="7"/>
  <c r="L29" i="7"/>
  <c r="E29" i="7"/>
  <c r="F29" i="7" s="1"/>
  <c r="L28" i="7"/>
  <c r="H28" i="7"/>
  <c r="I28" i="7" s="1"/>
  <c r="E28" i="7"/>
  <c r="F28" i="7" s="1"/>
  <c r="L27" i="7"/>
  <c r="E27" i="7"/>
  <c r="F27" i="7" s="1"/>
  <c r="L26" i="7"/>
  <c r="H26" i="7"/>
  <c r="I26" i="7" s="1"/>
  <c r="F26" i="7"/>
  <c r="L25" i="7"/>
  <c r="H25" i="7"/>
  <c r="I25" i="7" s="1"/>
  <c r="F25" i="7"/>
  <c r="L24" i="7"/>
  <c r="L23" i="7"/>
  <c r="H23" i="7"/>
  <c r="I23" i="7" s="1"/>
  <c r="F23" i="7"/>
  <c r="L22" i="7"/>
  <c r="E22" i="7"/>
  <c r="F22" i="7" s="1"/>
  <c r="L21" i="7"/>
  <c r="H21" i="7"/>
  <c r="I21" i="7" s="1"/>
  <c r="F21" i="7"/>
  <c r="L17" i="7"/>
  <c r="E17" i="7"/>
  <c r="F17" i="7" s="1"/>
  <c r="L20" i="7"/>
  <c r="H20" i="7"/>
  <c r="I20" i="7" s="1"/>
  <c r="F20" i="7"/>
  <c r="L19" i="7"/>
  <c r="H19" i="7"/>
  <c r="I19" i="7" s="1"/>
  <c r="F19" i="7"/>
  <c r="L18" i="7"/>
  <c r="H18" i="7"/>
  <c r="I18" i="7" s="1"/>
  <c r="F18" i="7"/>
  <c r="L16" i="7"/>
  <c r="L15" i="7"/>
  <c r="H15" i="7"/>
  <c r="I15" i="7" s="1"/>
  <c r="F15" i="7"/>
  <c r="L14" i="7"/>
  <c r="H14" i="7"/>
  <c r="I14" i="7" s="1"/>
  <c r="F14" i="7"/>
  <c r="L12" i="7"/>
  <c r="E12" i="7"/>
  <c r="F12" i="7" s="1"/>
  <c r="L13" i="7"/>
  <c r="H13" i="7"/>
  <c r="I13" i="7" s="1"/>
  <c r="L11" i="7"/>
  <c r="H11" i="7"/>
  <c r="I11" i="7" s="1"/>
  <c r="F11" i="7"/>
  <c r="L10" i="7"/>
  <c r="E10" i="7"/>
  <c r="F10" i="7" s="1"/>
  <c r="L9" i="7"/>
  <c r="H9" i="7"/>
  <c r="I9" i="7" s="1"/>
  <c r="L8" i="7"/>
  <c r="I8" i="7"/>
  <c r="H7" i="7"/>
  <c r="I7" i="7" s="1"/>
  <c r="K7" i="7" s="1"/>
  <c r="L7" i="7" s="1"/>
  <c r="J2" i="7"/>
  <c r="G53" i="3"/>
  <c r="G54" i="3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63" i="6"/>
  <c r="O16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J160" i="6"/>
  <c r="H159" i="6"/>
  <c r="I159" i="6" s="1"/>
  <c r="F159" i="6"/>
  <c r="H158" i="6"/>
  <c r="I158" i="6" s="1"/>
  <c r="F158" i="6"/>
  <c r="H157" i="6"/>
  <c r="I157" i="6" s="1"/>
  <c r="F157" i="6"/>
  <c r="H156" i="6"/>
  <c r="I156" i="6" s="1"/>
  <c r="F156" i="6"/>
  <c r="H155" i="6"/>
  <c r="I155" i="6" s="1"/>
  <c r="F155" i="6"/>
  <c r="H154" i="6"/>
  <c r="I154" i="6" s="1"/>
  <c r="E154" i="6"/>
  <c r="F154" i="6" s="1"/>
  <c r="H153" i="6"/>
  <c r="I153" i="6" s="1"/>
  <c r="F153" i="6"/>
  <c r="H152" i="6"/>
  <c r="I152" i="6" s="1"/>
  <c r="E152" i="6"/>
  <c r="F152" i="6" s="1"/>
  <c r="H151" i="6"/>
  <c r="I151" i="6" s="1"/>
  <c r="E151" i="6"/>
  <c r="F151" i="6" s="1"/>
  <c r="I150" i="6"/>
  <c r="F150" i="6"/>
  <c r="H149" i="6"/>
  <c r="I149" i="6" s="1"/>
  <c r="F149" i="6"/>
  <c r="I148" i="6"/>
  <c r="F148" i="6"/>
  <c r="H147" i="6"/>
  <c r="I147" i="6" s="1"/>
  <c r="F147" i="6"/>
  <c r="H146" i="6"/>
  <c r="I146" i="6" s="1"/>
  <c r="F146" i="6"/>
  <c r="H145" i="6"/>
  <c r="I145" i="6" s="1"/>
  <c r="F145" i="6"/>
  <c r="H144" i="6"/>
  <c r="I144" i="6" s="1"/>
  <c r="F144" i="6"/>
  <c r="H143" i="6"/>
  <c r="I143" i="6" s="1"/>
  <c r="F143" i="6"/>
  <c r="H142" i="6"/>
  <c r="I142" i="6" s="1"/>
  <c r="F142" i="6"/>
  <c r="E141" i="6"/>
  <c r="F141" i="6" s="1"/>
  <c r="E140" i="6"/>
  <c r="F140" i="6" s="1"/>
  <c r="H139" i="6"/>
  <c r="I139" i="6" s="1"/>
  <c r="F139" i="6"/>
  <c r="H138" i="6"/>
  <c r="I138" i="6" s="1"/>
  <c r="E138" i="6"/>
  <c r="F138" i="6" s="1"/>
  <c r="H137" i="6"/>
  <c r="I137" i="6" s="1"/>
  <c r="E137" i="6"/>
  <c r="F137" i="6" s="1"/>
  <c r="H136" i="6"/>
  <c r="I136" i="6" s="1"/>
  <c r="F136" i="6"/>
  <c r="H135" i="6"/>
  <c r="I135" i="6" s="1"/>
  <c r="F135" i="6"/>
  <c r="H134" i="6"/>
  <c r="I134" i="6" s="1"/>
  <c r="F134" i="6"/>
  <c r="E132" i="6"/>
  <c r="F132" i="6" s="1"/>
  <c r="E131" i="6"/>
  <c r="F131" i="6" s="1"/>
  <c r="H133" i="6"/>
  <c r="I133" i="6" s="1"/>
  <c r="F133" i="6"/>
  <c r="H130" i="6"/>
  <c r="I130" i="6" s="1"/>
  <c r="F130" i="6"/>
  <c r="H129" i="6"/>
  <c r="I129" i="6" s="1"/>
  <c r="F129" i="6"/>
  <c r="H128" i="6"/>
  <c r="I128" i="6" s="1"/>
  <c r="F128" i="6"/>
  <c r="H127" i="6"/>
  <c r="I127" i="6" s="1"/>
  <c r="F127" i="6"/>
  <c r="H126" i="6"/>
  <c r="I126" i="6" s="1"/>
  <c r="F126" i="6"/>
  <c r="H125" i="6"/>
  <c r="I125" i="6" s="1"/>
  <c r="F125" i="6"/>
  <c r="H124" i="6"/>
  <c r="I124" i="6" s="1"/>
  <c r="F124" i="6"/>
  <c r="H123" i="6"/>
  <c r="I123" i="6" s="1"/>
  <c r="F123" i="6"/>
  <c r="H122" i="6"/>
  <c r="I122" i="6" s="1"/>
  <c r="F122" i="6"/>
  <c r="H121" i="6"/>
  <c r="I121" i="6" s="1"/>
  <c r="F121" i="6"/>
  <c r="H120" i="6"/>
  <c r="I120" i="6" s="1"/>
  <c r="E120" i="6"/>
  <c r="F120" i="6" s="1"/>
  <c r="H119" i="6"/>
  <c r="I119" i="6" s="1"/>
  <c r="E119" i="6"/>
  <c r="F119" i="6" s="1"/>
  <c r="E118" i="6"/>
  <c r="F118" i="6" s="1"/>
  <c r="H117" i="6"/>
  <c r="I117" i="6" s="1"/>
  <c r="F117" i="6"/>
  <c r="H116" i="6"/>
  <c r="I116" i="6" s="1"/>
  <c r="E116" i="6"/>
  <c r="F116" i="6" s="1"/>
  <c r="H115" i="6"/>
  <c r="I115" i="6" s="1"/>
  <c r="F115" i="6"/>
  <c r="H114" i="6"/>
  <c r="I114" i="6" s="1"/>
  <c r="F114" i="6"/>
  <c r="H113" i="6"/>
  <c r="I113" i="6" s="1"/>
  <c r="F113" i="6"/>
  <c r="E112" i="6"/>
  <c r="F112" i="6" s="1"/>
  <c r="E111" i="6"/>
  <c r="F111" i="6" s="1"/>
  <c r="H109" i="6"/>
  <c r="I109" i="6" s="1"/>
  <c r="F109" i="6"/>
  <c r="H107" i="6"/>
  <c r="I107" i="6" s="1"/>
  <c r="E107" i="6"/>
  <c r="F107" i="6" s="1"/>
  <c r="H106" i="6"/>
  <c r="I106" i="6" s="1"/>
  <c r="F106" i="6"/>
  <c r="H105" i="6"/>
  <c r="I105" i="6" s="1"/>
  <c r="F105" i="6"/>
  <c r="H104" i="6"/>
  <c r="I104" i="6" s="1"/>
  <c r="F104" i="6"/>
  <c r="E108" i="6"/>
  <c r="F108" i="6" s="1"/>
  <c r="H103" i="6"/>
  <c r="I103" i="6" s="1"/>
  <c r="F103" i="6"/>
  <c r="H102" i="6"/>
  <c r="I102" i="6" s="1"/>
  <c r="F102" i="6"/>
  <c r="H101" i="6"/>
  <c r="I101" i="6" s="1"/>
  <c r="F101" i="6"/>
  <c r="H100" i="6"/>
  <c r="I100" i="6" s="1"/>
  <c r="E100" i="6"/>
  <c r="F100" i="6" s="1"/>
  <c r="H99" i="6"/>
  <c r="I99" i="6" s="1"/>
  <c r="F99" i="6"/>
  <c r="H98" i="6"/>
  <c r="I98" i="6" s="1"/>
  <c r="E98" i="6"/>
  <c r="F98" i="6" s="1"/>
  <c r="H97" i="6"/>
  <c r="I97" i="6" s="1"/>
  <c r="E97" i="6"/>
  <c r="F97" i="6" s="1"/>
  <c r="H96" i="6"/>
  <c r="I96" i="6" s="1"/>
  <c r="F96" i="6"/>
  <c r="H95" i="6"/>
  <c r="I95" i="6" s="1"/>
  <c r="F95" i="6"/>
  <c r="H94" i="6"/>
  <c r="I94" i="6" s="1"/>
  <c r="E94" i="6"/>
  <c r="F94" i="6" s="1"/>
  <c r="H93" i="6"/>
  <c r="I93" i="6" s="1"/>
  <c r="E93" i="6"/>
  <c r="F93" i="6" s="1"/>
  <c r="E92" i="6"/>
  <c r="F92" i="6" s="1"/>
  <c r="H91" i="6"/>
  <c r="I91" i="6" s="1"/>
  <c r="F91" i="6"/>
  <c r="H90" i="6"/>
  <c r="I90" i="6" s="1"/>
  <c r="F90" i="6"/>
  <c r="H89" i="6"/>
  <c r="I89" i="6" s="1"/>
  <c r="F89" i="6"/>
  <c r="H88" i="6"/>
  <c r="I88" i="6" s="1"/>
  <c r="F88" i="6"/>
  <c r="H87" i="6"/>
  <c r="I87" i="6" s="1"/>
  <c r="E87" i="6"/>
  <c r="F87" i="6" s="1"/>
  <c r="H86" i="6"/>
  <c r="I86" i="6" s="1"/>
  <c r="E86" i="6"/>
  <c r="F86" i="6" s="1"/>
  <c r="H85" i="6"/>
  <c r="I85" i="6" s="1"/>
  <c r="F85" i="6"/>
  <c r="H84" i="6"/>
  <c r="I84" i="6" s="1"/>
  <c r="F84" i="6"/>
  <c r="H83" i="6"/>
  <c r="I83" i="6" s="1"/>
  <c r="F83" i="6"/>
  <c r="H82" i="6"/>
  <c r="I82" i="6" s="1"/>
  <c r="D82" i="6"/>
  <c r="E82" i="6" s="1"/>
  <c r="H81" i="6"/>
  <c r="I81" i="6" s="1"/>
  <c r="F81" i="6"/>
  <c r="I80" i="6"/>
  <c r="E80" i="6"/>
  <c r="F80" i="6" s="1"/>
  <c r="H79" i="6"/>
  <c r="I79" i="6" s="1"/>
  <c r="F79" i="6"/>
  <c r="H78" i="6"/>
  <c r="I78" i="6" s="1"/>
  <c r="F78" i="6"/>
  <c r="H77" i="6"/>
  <c r="I77" i="6" s="1"/>
  <c r="F77" i="6"/>
  <c r="H76" i="6"/>
  <c r="I76" i="6" s="1"/>
  <c r="F76" i="6"/>
  <c r="H75" i="6"/>
  <c r="I75" i="6" s="1"/>
  <c r="F75" i="6"/>
  <c r="H74" i="6"/>
  <c r="I74" i="6" s="1"/>
  <c r="E74" i="6"/>
  <c r="F74" i="6" s="1"/>
  <c r="H73" i="6"/>
  <c r="I73" i="6" s="1"/>
  <c r="F73" i="6"/>
  <c r="H72" i="6"/>
  <c r="I72" i="6" s="1"/>
  <c r="F72" i="6"/>
  <c r="H70" i="6"/>
  <c r="I70" i="6" s="1"/>
  <c r="E70" i="6"/>
  <c r="F70" i="6" s="1"/>
  <c r="H69" i="6"/>
  <c r="I69" i="6" s="1"/>
  <c r="F69" i="6"/>
  <c r="H68" i="6"/>
  <c r="I68" i="6" s="1"/>
  <c r="E68" i="6"/>
  <c r="F68" i="6" s="1"/>
  <c r="H67" i="6"/>
  <c r="I67" i="6" s="1"/>
  <c r="F67" i="6"/>
  <c r="H66" i="6"/>
  <c r="I66" i="6" s="1"/>
  <c r="F66" i="6"/>
  <c r="H65" i="6"/>
  <c r="I65" i="6" s="1"/>
  <c r="F65" i="6"/>
  <c r="H64" i="6"/>
  <c r="I64" i="6" s="1"/>
  <c r="F64" i="6"/>
  <c r="H63" i="6"/>
  <c r="I63" i="6" s="1"/>
  <c r="F63" i="6"/>
  <c r="H62" i="6"/>
  <c r="I62" i="6" s="1"/>
  <c r="F62" i="6"/>
  <c r="H61" i="6"/>
  <c r="I61" i="6" s="1"/>
  <c r="F61" i="6"/>
  <c r="H60" i="6"/>
  <c r="I60" i="6" s="1"/>
  <c r="F60" i="6"/>
  <c r="H59" i="6"/>
  <c r="I59" i="6" s="1"/>
  <c r="E59" i="6"/>
  <c r="F59" i="6" s="1"/>
  <c r="H58" i="6"/>
  <c r="I58" i="6" s="1"/>
  <c r="F58" i="6"/>
  <c r="H57" i="6"/>
  <c r="I57" i="6" s="1"/>
  <c r="F57" i="6"/>
  <c r="H56" i="6"/>
  <c r="I56" i="6" s="1"/>
  <c r="E56" i="6"/>
  <c r="F56" i="6" s="1"/>
  <c r="H55" i="6"/>
  <c r="I55" i="6" s="1"/>
  <c r="F55" i="6"/>
  <c r="H54" i="6"/>
  <c r="I54" i="6" s="1"/>
  <c r="E54" i="6"/>
  <c r="F54" i="6" s="1"/>
  <c r="H53" i="6"/>
  <c r="I53" i="6" s="1"/>
  <c r="F53" i="6"/>
  <c r="H52" i="6"/>
  <c r="I52" i="6" s="1"/>
  <c r="F52" i="6"/>
  <c r="H51" i="6"/>
  <c r="I51" i="6" s="1"/>
  <c r="F51" i="6"/>
  <c r="H50" i="6"/>
  <c r="I50" i="6" s="1"/>
  <c r="F50" i="6"/>
  <c r="H49" i="6"/>
  <c r="I49" i="6" s="1"/>
  <c r="F49" i="6"/>
  <c r="H48" i="6"/>
  <c r="I48" i="6" s="1"/>
  <c r="F48" i="6"/>
  <c r="E42" i="6"/>
  <c r="F42" i="6" s="1"/>
  <c r="H47" i="6"/>
  <c r="I47" i="6" s="1"/>
  <c r="F47" i="6"/>
  <c r="H46" i="6"/>
  <c r="I46" i="6" s="1"/>
  <c r="F46" i="6"/>
  <c r="H45" i="6"/>
  <c r="I45" i="6" s="1"/>
  <c r="F45" i="6"/>
  <c r="I44" i="6"/>
  <c r="F44" i="6"/>
  <c r="H43" i="6"/>
  <c r="I43" i="6" s="1"/>
  <c r="F43" i="6"/>
  <c r="H41" i="6"/>
  <c r="I41" i="6" s="1"/>
  <c r="F41" i="6"/>
  <c r="H39" i="6"/>
  <c r="I39" i="6" s="1"/>
  <c r="F39" i="6"/>
  <c r="H37" i="6"/>
  <c r="I37" i="6" s="1"/>
  <c r="F37" i="6"/>
  <c r="H36" i="6"/>
  <c r="I36" i="6" s="1"/>
  <c r="E36" i="6"/>
  <c r="F36" i="6" s="1"/>
  <c r="E38" i="6"/>
  <c r="F38" i="6" s="1"/>
  <c r="H35" i="6"/>
  <c r="I35" i="6" s="1"/>
  <c r="E35" i="6"/>
  <c r="F35" i="6" s="1"/>
  <c r="E40" i="6"/>
  <c r="F40" i="6" s="1"/>
  <c r="H33" i="6"/>
  <c r="I33" i="6" s="1"/>
  <c r="F33" i="6"/>
  <c r="H32" i="6"/>
  <c r="I32" i="6" s="1"/>
  <c r="E32" i="6"/>
  <c r="F32" i="6" s="1"/>
  <c r="H31" i="6"/>
  <c r="I31" i="6" s="1"/>
  <c r="F31" i="6"/>
  <c r="H30" i="6"/>
  <c r="I30" i="6" s="1"/>
  <c r="F30" i="6"/>
  <c r="E29" i="6"/>
  <c r="F29" i="6" s="1"/>
  <c r="H28" i="6"/>
  <c r="I28" i="6" s="1"/>
  <c r="E28" i="6"/>
  <c r="F28" i="6" s="1"/>
  <c r="E27" i="6"/>
  <c r="F27" i="6" s="1"/>
  <c r="H26" i="6"/>
  <c r="I26" i="6" s="1"/>
  <c r="F26" i="6"/>
  <c r="H25" i="6"/>
  <c r="I25" i="6" s="1"/>
  <c r="F25" i="6"/>
  <c r="H23" i="6"/>
  <c r="I23" i="6" s="1"/>
  <c r="F23" i="6"/>
  <c r="E22" i="6"/>
  <c r="F22" i="6" s="1"/>
  <c r="H21" i="6"/>
  <c r="I21" i="6" s="1"/>
  <c r="F21" i="6"/>
  <c r="E17" i="6"/>
  <c r="F17" i="6" s="1"/>
  <c r="H20" i="6"/>
  <c r="I20" i="6" s="1"/>
  <c r="F20" i="6"/>
  <c r="H19" i="6"/>
  <c r="I19" i="6" s="1"/>
  <c r="F19" i="6"/>
  <c r="H18" i="6"/>
  <c r="I18" i="6" s="1"/>
  <c r="F18" i="6"/>
  <c r="H15" i="6"/>
  <c r="I15" i="6" s="1"/>
  <c r="F15" i="6"/>
  <c r="H14" i="6"/>
  <c r="I14" i="6" s="1"/>
  <c r="F14" i="6"/>
  <c r="H13" i="6"/>
  <c r="I13" i="6" s="1"/>
  <c r="E13" i="6"/>
  <c r="F13" i="6" s="1"/>
  <c r="H11" i="6"/>
  <c r="I11" i="6" s="1"/>
  <c r="F11" i="6"/>
  <c r="E10" i="6"/>
  <c r="F10" i="6" s="1"/>
  <c r="H9" i="6"/>
  <c r="I9" i="6" s="1"/>
  <c r="I8" i="6"/>
  <c r="H7" i="6"/>
  <c r="I7" i="6" s="1"/>
  <c r="J2" i="6"/>
  <c r="Z75" i="7" l="1"/>
  <c r="Z97" i="7"/>
  <c r="Z115" i="7"/>
  <c r="Z124" i="7"/>
  <c r="Z85" i="7"/>
  <c r="Z79" i="7"/>
  <c r="Z93" i="7"/>
  <c r="Z107" i="7"/>
  <c r="Z125" i="7"/>
  <c r="Z83" i="7"/>
  <c r="Z89" i="7"/>
  <c r="Z111" i="7"/>
  <c r="Z71" i="7"/>
  <c r="Z82" i="7"/>
  <c r="Z78" i="7"/>
  <c r="Z74" i="7"/>
  <c r="Z96" i="7"/>
  <c r="Z92" i="7"/>
  <c r="Z88" i="7"/>
  <c r="Z84" i="7"/>
  <c r="Z118" i="7"/>
  <c r="Z114" i="7"/>
  <c r="Z110" i="7"/>
  <c r="Z106" i="7"/>
  <c r="Z102" i="7"/>
  <c r="Z67" i="7"/>
  <c r="Z81" i="7"/>
  <c r="Z77" i="7"/>
  <c r="Z95" i="7"/>
  <c r="Z91" i="7"/>
  <c r="Z87" i="7"/>
  <c r="Z121" i="7"/>
  <c r="Z117" i="7"/>
  <c r="Z113" i="7"/>
  <c r="Z109" i="7"/>
  <c r="Z105" i="7"/>
  <c r="Z101" i="7"/>
  <c r="Z48" i="7"/>
  <c r="Z80" i="7"/>
  <c r="Z76" i="7"/>
  <c r="Z98" i="7"/>
  <c r="Z94" i="7"/>
  <c r="Z90" i="7"/>
  <c r="Z86" i="7"/>
  <c r="Z120" i="7"/>
  <c r="Z116" i="7"/>
  <c r="Z112" i="7"/>
  <c r="Z108" i="7"/>
  <c r="Z104" i="7"/>
  <c r="Z100" i="7"/>
  <c r="Z60" i="7"/>
  <c r="Z70" i="7"/>
  <c r="Z66" i="7"/>
  <c r="Z56" i="7"/>
  <c r="Z69" i="7"/>
  <c r="Z65" i="7"/>
  <c r="Z52" i="7"/>
  <c r="Z72" i="7"/>
  <c r="Z68" i="7"/>
  <c r="Y59" i="7"/>
  <c r="Z59" i="7"/>
  <c r="Z63" i="7"/>
  <c r="Z55" i="7"/>
  <c r="Z51" i="7"/>
  <c r="Z47" i="7"/>
  <c r="Z41" i="7"/>
  <c r="Z62" i="7"/>
  <c r="Z58" i="7"/>
  <c r="Z54" i="7"/>
  <c r="Z50" i="7"/>
  <c r="Z46" i="7"/>
  <c r="Z27" i="7"/>
  <c r="Z61" i="7"/>
  <c r="Z57" i="7"/>
  <c r="Z53" i="7"/>
  <c r="Z49" i="7"/>
  <c r="Z44" i="7"/>
  <c r="Z40" i="7"/>
  <c r="Z43" i="7"/>
  <c r="Z34" i="7"/>
  <c r="Z42" i="7"/>
  <c r="Z38" i="7"/>
  <c r="Z31" i="7"/>
  <c r="Z36" i="7"/>
  <c r="Y28" i="7"/>
  <c r="Z28" i="7"/>
  <c r="Z26" i="7"/>
  <c r="Z29" i="7"/>
  <c r="Z25" i="7"/>
  <c r="Z21" i="7"/>
  <c r="Z23" i="7"/>
  <c r="Z30" i="7"/>
  <c r="Z33" i="7"/>
  <c r="Z32" i="7"/>
  <c r="Z24" i="7"/>
  <c r="Z35" i="7"/>
  <c r="Y12" i="7"/>
  <c r="Z12" i="7"/>
  <c r="Y22" i="7"/>
  <c r="Y9" i="7"/>
  <c r="Z9" i="7"/>
  <c r="Y19" i="7"/>
  <c r="Z19" i="7"/>
  <c r="Z7" i="7"/>
  <c r="Z10" i="7"/>
  <c r="Z16" i="7"/>
  <c r="Z11" i="7"/>
  <c r="Z17" i="7"/>
  <c r="Z13" i="7"/>
  <c r="Z15" i="7"/>
  <c r="Z8" i="7"/>
  <c r="Z18" i="7"/>
  <c r="Z14" i="7"/>
  <c r="L160" i="7"/>
  <c r="E82" i="7"/>
  <c r="F82" i="7" s="1"/>
  <c r="F160" i="7" s="1"/>
  <c r="F162" i="7" s="1"/>
  <c r="F163" i="7" s="1"/>
  <c r="F82" i="6"/>
  <c r="F160" i="6" s="1"/>
  <c r="F162" i="6" s="1"/>
  <c r="F163" i="6" s="1"/>
  <c r="Y162" i="7" l="1"/>
  <c r="H47" i="2" l="1"/>
  <c r="H27" i="4"/>
  <c r="I165" i="5"/>
  <c r="J165" i="5" s="1"/>
  <c r="I164" i="5"/>
  <c r="J164" i="5" s="1"/>
  <c r="I163" i="5"/>
  <c r="J163" i="5" s="1"/>
  <c r="I138" i="5"/>
  <c r="J138" i="5" s="1"/>
  <c r="I139" i="5"/>
  <c r="J139" i="5" s="1"/>
  <c r="I129" i="5"/>
  <c r="J129" i="5" s="1"/>
  <c r="I128" i="5"/>
  <c r="J128" i="5" s="1"/>
  <c r="I102" i="5"/>
  <c r="J102" i="5" s="1"/>
  <c r="I97" i="5"/>
  <c r="J97" i="5" s="1"/>
  <c r="I103" i="5"/>
  <c r="J103" i="5" s="1"/>
  <c r="I96" i="5"/>
  <c r="J96" i="5" s="1"/>
  <c r="I91" i="5"/>
  <c r="J91" i="5" s="1"/>
  <c r="I92" i="5"/>
  <c r="J92" i="5" s="1"/>
  <c r="I86" i="5"/>
  <c r="J86" i="5" s="1"/>
  <c r="I82" i="5"/>
  <c r="J82" i="5" s="1"/>
  <c r="I79" i="5"/>
  <c r="J79" i="5" s="1"/>
  <c r="I77" i="5"/>
  <c r="J77" i="5" s="1"/>
  <c r="I70" i="5"/>
  <c r="J70" i="5" s="1"/>
  <c r="I67" i="5"/>
  <c r="J67" i="5" s="1"/>
  <c r="I66" i="5"/>
  <c r="J66" i="5" s="1"/>
  <c r="I65" i="5"/>
  <c r="J65" i="5" s="1"/>
  <c r="I59" i="5"/>
  <c r="J59" i="5" s="1"/>
  <c r="I55" i="5"/>
  <c r="J55" i="5" s="1"/>
  <c r="I54" i="5"/>
  <c r="J54" i="5" s="1"/>
  <c r="I49" i="5"/>
  <c r="J49" i="5" s="1"/>
  <c r="I45" i="5"/>
  <c r="J45" i="5" s="1"/>
  <c r="I35" i="5"/>
  <c r="J35" i="5" s="1"/>
  <c r="I20" i="5"/>
  <c r="J20" i="5" s="1"/>
  <c r="I19" i="5"/>
  <c r="J19" i="5" s="1"/>
  <c r="I52" i="5"/>
  <c r="J52" i="5" s="1"/>
  <c r="I53" i="5"/>
  <c r="J53" i="5" s="1"/>
  <c r="I56" i="5"/>
  <c r="J56" i="5" s="1"/>
  <c r="I57" i="5"/>
  <c r="J57" i="5" s="1"/>
  <c r="I8" i="5"/>
  <c r="J8" i="5" s="1"/>
  <c r="I162" i="5"/>
  <c r="J162" i="5" s="1"/>
  <c r="I161" i="5"/>
  <c r="J161" i="5" s="1"/>
  <c r="I151" i="5"/>
  <c r="J151" i="5" s="1"/>
  <c r="J155" i="5"/>
  <c r="J153" i="5"/>
  <c r="I154" i="5"/>
  <c r="J154" i="5" s="1"/>
  <c r="I148" i="5"/>
  <c r="J148" i="5" s="1"/>
  <c r="I147" i="5"/>
  <c r="J147" i="5" s="1"/>
  <c r="I150" i="5"/>
  <c r="J150" i="5" s="1"/>
  <c r="I149" i="5"/>
  <c r="J149" i="5" s="1"/>
  <c r="I152" i="5"/>
  <c r="J152" i="5" s="1"/>
  <c r="I62" i="5"/>
  <c r="J62" i="5" s="1"/>
  <c r="I61" i="5"/>
  <c r="J61" i="5" s="1"/>
  <c r="I48" i="5"/>
  <c r="J48" i="5" s="1"/>
  <c r="I24" i="5"/>
  <c r="J24" i="5" s="1"/>
  <c r="J11" i="5"/>
  <c r="I160" i="5"/>
  <c r="J160" i="5" s="1"/>
  <c r="I158" i="5"/>
  <c r="J158" i="5" s="1"/>
  <c r="I159" i="5"/>
  <c r="J159" i="5" s="1"/>
  <c r="I157" i="5"/>
  <c r="J157" i="5" s="1"/>
  <c r="I142" i="5"/>
  <c r="J142" i="5" s="1"/>
  <c r="I141" i="5"/>
  <c r="J141" i="5" s="1"/>
  <c r="I140" i="5"/>
  <c r="J140" i="5" s="1"/>
  <c r="I134" i="5"/>
  <c r="J134" i="5" s="1"/>
  <c r="I133" i="5"/>
  <c r="J133" i="5" s="1"/>
  <c r="I132" i="5"/>
  <c r="J132" i="5" s="1"/>
  <c r="I135" i="5"/>
  <c r="J135" i="5" s="1"/>
  <c r="I130" i="5"/>
  <c r="J130" i="5" s="1"/>
  <c r="I131" i="5"/>
  <c r="J131" i="5" s="1"/>
  <c r="I126" i="5"/>
  <c r="J126" i="5" s="1"/>
  <c r="I125" i="5"/>
  <c r="J125" i="5" s="1"/>
  <c r="I121" i="5"/>
  <c r="J121" i="5" s="1"/>
  <c r="I122" i="5"/>
  <c r="J122" i="5" s="1"/>
  <c r="I120" i="5"/>
  <c r="J120" i="5" s="1"/>
  <c r="I118" i="5"/>
  <c r="J118" i="5" s="1"/>
  <c r="I116" i="5"/>
  <c r="J116" i="5" s="1"/>
  <c r="I115" i="5"/>
  <c r="J115" i="5" s="1"/>
  <c r="I117" i="5"/>
  <c r="J117" i="5" s="1"/>
  <c r="I114" i="5"/>
  <c r="J114" i="5" s="1"/>
  <c r="I104" i="5"/>
  <c r="J104" i="5" s="1"/>
  <c r="I107" i="5"/>
  <c r="J107" i="5" s="1"/>
  <c r="I106" i="5"/>
  <c r="J106" i="5" s="1"/>
  <c r="I100" i="5"/>
  <c r="J100" i="5" s="1"/>
  <c r="I101" i="5"/>
  <c r="J101" i="5" s="1"/>
  <c r="I109" i="5"/>
  <c r="J109" i="5" s="1"/>
  <c r="I108" i="5"/>
  <c r="J108" i="5" s="1"/>
  <c r="I99" i="5"/>
  <c r="J99" i="5" s="1"/>
  <c r="I98" i="5"/>
  <c r="J98" i="5" s="1"/>
  <c r="I95" i="5"/>
  <c r="J95" i="5" s="1"/>
  <c r="I94" i="5"/>
  <c r="J94" i="5" s="1"/>
  <c r="I87" i="5"/>
  <c r="J87" i="5" s="1"/>
  <c r="I88" i="5"/>
  <c r="J88" i="5" s="1"/>
  <c r="I89" i="5"/>
  <c r="J89" i="5" s="1"/>
  <c r="I90" i="5"/>
  <c r="J90" i="5" s="1"/>
  <c r="J81" i="5"/>
  <c r="I85" i="5"/>
  <c r="J85" i="5" s="1"/>
  <c r="I84" i="5"/>
  <c r="J84" i="5" s="1"/>
  <c r="I83" i="5"/>
  <c r="J83" i="5" s="1"/>
  <c r="I80" i="5"/>
  <c r="J80" i="5" s="1"/>
  <c r="I78" i="5"/>
  <c r="J78" i="5" s="1"/>
  <c r="I73" i="5"/>
  <c r="J73" i="5" s="1"/>
  <c r="I74" i="5"/>
  <c r="J74" i="5" s="1"/>
  <c r="I76" i="5"/>
  <c r="J76" i="5" s="1"/>
  <c r="I72" i="5"/>
  <c r="J72" i="5" s="1"/>
  <c r="I71" i="5"/>
  <c r="J71" i="5" s="1"/>
  <c r="I69" i="5"/>
  <c r="J69" i="5" s="1"/>
  <c r="I68" i="5"/>
  <c r="J68" i="5" s="1"/>
  <c r="I64" i="5"/>
  <c r="J64" i="5" s="1"/>
  <c r="I63" i="5"/>
  <c r="J63" i="5" s="1"/>
  <c r="I60" i="5"/>
  <c r="J60" i="5" s="1"/>
  <c r="I58" i="5"/>
  <c r="J58" i="5" s="1"/>
  <c r="J47" i="5"/>
  <c r="I46" i="5"/>
  <c r="J46" i="5" s="1"/>
  <c r="I42" i="5"/>
  <c r="J42" i="5" s="1"/>
  <c r="I40" i="5"/>
  <c r="J40" i="5" s="1"/>
  <c r="I37" i="5"/>
  <c r="J37" i="5" s="1"/>
  <c r="I43" i="5"/>
  <c r="J43" i="5" s="1"/>
  <c r="I44" i="5"/>
  <c r="J44" i="5" s="1"/>
  <c r="I36" i="5"/>
  <c r="J36" i="5" s="1"/>
  <c r="I34" i="5"/>
  <c r="J34" i="5" s="1"/>
  <c r="I32" i="5"/>
  <c r="J32" i="5" s="1"/>
  <c r="I30" i="5"/>
  <c r="J30" i="5" s="1"/>
  <c r="I29" i="5"/>
  <c r="J29" i="5" s="1"/>
  <c r="I22" i="5"/>
  <c r="J22" i="5" s="1"/>
  <c r="I15" i="5"/>
  <c r="J15" i="5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F22" i="2"/>
  <c r="G22" i="2" s="1"/>
  <c r="H22" i="2" s="1"/>
  <c r="F23" i="2"/>
  <c r="G23" i="2" s="1"/>
  <c r="H23" i="2" s="1"/>
  <c r="F24" i="2"/>
  <c r="G24" i="2" s="1"/>
  <c r="H24" i="2" s="1"/>
  <c r="F25" i="2"/>
  <c r="G25" i="2" s="1"/>
  <c r="H25" i="2" s="1"/>
  <c r="F26" i="2"/>
  <c r="G26" i="2" s="1"/>
  <c r="H26" i="2" s="1"/>
  <c r="F27" i="2"/>
  <c r="G27" i="2" s="1"/>
  <c r="H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33" i="2"/>
  <c r="G33" i="2" s="1"/>
  <c r="H33" i="2" s="1"/>
  <c r="F34" i="2"/>
  <c r="G34" i="2" s="1"/>
  <c r="H34" i="2" s="1"/>
  <c r="F35" i="2"/>
  <c r="G35" i="2" s="1"/>
  <c r="H35" i="2" s="1"/>
  <c r="F36" i="2"/>
  <c r="G36" i="2" s="1"/>
  <c r="H36" i="2" s="1"/>
  <c r="F37" i="2"/>
  <c r="G37" i="2" s="1"/>
  <c r="H37" i="2" s="1"/>
  <c r="F38" i="2"/>
  <c r="G38" i="2" s="1"/>
  <c r="H38" i="2" s="1"/>
  <c r="F39" i="2"/>
  <c r="G39" i="2" s="1"/>
  <c r="H39" i="2" s="1"/>
  <c r="F40" i="2"/>
  <c r="G40" i="2" s="1"/>
  <c r="H40" i="2" s="1"/>
  <c r="F41" i="2"/>
  <c r="G41" i="2" s="1"/>
  <c r="H41" i="2" s="1"/>
  <c r="F42" i="2"/>
  <c r="G42" i="2" s="1"/>
  <c r="H42" i="2" s="1"/>
  <c r="F43" i="2"/>
  <c r="G43" i="2" s="1"/>
  <c r="H43" i="2" s="1"/>
  <c r="F44" i="2"/>
  <c r="G44" i="2" s="1"/>
  <c r="H44" i="2" s="1"/>
  <c r="F45" i="2"/>
  <c r="G45" i="2" s="1"/>
  <c r="H45" i="2" s="1"/>
  <c r="F46" i="2"/>
  <c r="G46" i="2" s="1"/>
  <c r="H46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4" i="3"/>
  <c r="G14" i="3" s="1"/>
  <c r="H14" i="3" s="1"/>
  <c r="G23" i="4"/>
  <c r="H23" i="4" s="1"/>
  <c r="F26" i="4"/>
  <c r="G26" i="4" s="1"/>
  <c r="H26" i="4" s="1"/>
  <c r="F25" i="4"/>
  <c r="G25" i="4" s="1"/>
  <c r="H25" i="4" s="1"/>
  <c r="F24" i="4"/>
  <c r="G24" i="4" s="1"/>
  <c r="H24" i="4" s="1"/>
  <c r="G22" i="4"/>
  <c r="H22" i="4" s="1"/>
  <c r="F21" i="4"/>
  <c r="G21" i="4" s="1"/>
  <c r="H21" i="4" s="1"/>
  <c r="F20" i="4"/>
  <c r="G20" i="4" s="1"/>
  <c r="H20" i="4" s="1"/>
  <c r="F19" i="4"/>
  <c r="G19" i="4" s="1"/>
  <c r="H19" i="4" s="1"/>
  <c r="F18" i="4"/>
  <c r="G18" i="4" s="1"/>
  <c r="H18" i="4" s="1"/>
  <c r="F17" i="4"/>
  <c r="G17" i="4" s="1"/>
  <c r="H17" i="4" s="1"/>
  <c r="F16" i="4"/>
  <c r="G16" i="4" s="1"/>
  <c r="H16" i="4" s="1"/>
  <c r="F15" i="4"/>
  <c r="G15" i="4" s="1"/>
  <c r="H15" i="4" s="1"/>
  <c r="F14" i="4"/>
  <c r="G14" i="4" s="1"/>
  <c r="H14" i="4" s="1"/>
  <c r="F13" i="4"/>
  <c r="G13" i="4" s="1"/>
  <c r="H13" i="4" s="1"/>
  <c r="F12" i="4"/>
  <c r="G12" i="4" s="1"/>
  <c r="H12" i="4" s="1"/>
  <c r="F11" i="4"/>
  <c r="G11" i="4" s="1"/>
  <c r="H11" i="4" s="1"/>
  <c r="G10" i="4"/>
  <c r="H10" i="4" s="1"/>
  <c r="F9" i="4"/>
  <c r="G9" i="4" s="1"/>
  <c r="H9" i="4" s="1"/>
  <c r="F8" i="4"/>
  <c r="G8" i="4" s="1"/>
  <c r="H8" i="4" s="1"/>
  <c r="F79" i="3"/>
  <c r="F78" i="3"/>
  <c r="G78" i="3" s="1"/>
  <c r="H78" i="3" s="1"/>
  <c r="F77" i="3"/>
  <c r="G77" i="3" s="1"/>
  <c r="H77" i="3" s="1"/>
  <c r="F76" i="3"/>
  <c r="G76" i="3" s="1"/>
  <c r="H76" i="3" s="1"/>
  <c r="F75" i="3"/>
  <c r="G75" i="3" s="1"/>
  <c r="H75" i="3" s="1"/>
  <c r="F74" i="3"/>
  <c r="G74" i="3" s="1"/>
  <c r="H74" i="3" s="1"/>
  <c r="F73" i="3"/>
  <c r="G73" i="3" s="1"/>
  <c r="H73" i="3" s="1"/>
  <c r="F72" i="3"/>
  <c r="G72" i="3" s="1"/>
  <c r="H72" i="3" s="1"/>
  <c r="F71" i="3"/>
  <c r="G71" i="3" s="1"/>
  <c r="H71" i="3" s="1"/>
  <c r="F70" i="3"/>
  <c r="G70" i="3" s="1"/>
  <c r="H70" i="3" s="1"/>
  <c r="F69" i="3"/>
  <c r="G69" i="3" s="1"/>
  <c r="H69" i="3" s="1"/>
  <c r="F68" i="3"/>
  <c r="G68" i="3" s="1"/>
  <c r="H68" i="3" s="1"/>
  <c r="F67" i="3"/>
  <c r="G67" i="3" s="1"/>
  <c r="H67" i="3" s="1"/>
  <c r="F66" i="3"/>
  <c r="G66" i="3" s="1"/>
  <c r="H66" i="3" s="1"/>
  <c r="F65" i="3"/>
  <c r="G65" i="3" s="1"/>
  <c r="H65" i="3" s="1"/>
  <c r="F64" i="3"/>
  <c r="G64" i="3" s="1"/>
  <c r="H64" i="3" s="1"/>
  <c r="F63" i="3"/>
  <c r="G63" i="3" s="1"/>
  <c r="H63" i="3" s="1"/>
  <c r="F62" i="3"/>
  <c r="G62" i="3" s="1"/>
  <c r="H62" i="3" s="1"/>
  <c r="F61" i="3"/>
  <c r="G61" i="3" s="1"/>
  <c r="H61" i="3" s="1"/>
  <c r="F60" i="3"/>
  <c r="G60" i="3" s="1"/>
  <c r="H60" i="3" s="1"/>
  <c r="F59" i="3"/>
  <c r="G59" i="3" s="1"/>
  <c r="H59" i="3" s="1"/>
  <c r="F58" i="3"/>
  <c r="G58" i="3" s="1"/>
  <c r="H58" i="3" s="1"/>
  <c r="F57" i="3"/>
  <c r="G57" i="3" s="1"/>
  <c r="H57" i="3" s="1"/>
  <c r="F56" i="3"/>
  <c r="G56" i="3" s="1"/>
  <c r="H56" i="3" s="1"/>
  <c r="F55" i="3"/>
  <c r="G55" i="3" s="1"/>
  <c r="H55" i="3" s="1"/>
  <c r="F54" i="3"/>
  <c r="H54" i="3" s="1"/>
  <c r="F53" i="3"/>
  <c r="H53" i="3" s="1"/>
  <c r="H79" i="3" s="1"/>
  <c r="H50" i="2" s="1"/>
  <c r="F52" i="3"/>
  <c r="G52" i="3" s="1"/>
  <c r="H52" i="3" s="1"/>
  <c r="F51" i="3"/>
  <c r="G51" i="3" s="1"/>
  <c r="H51" i="3" s="1"/>
  <c r="F50" i="3"/>
  <c r="G50" i="3" s="1"/>
  <c r="H50" i="3" s="1"/>
  <c r="F49" i="3"/>
  <c r="G49" i="3" s="1"/>
  <c r="H49" i="3" s="1"/>
  <c r="F48" i="3"/>
  <c r="G48" i="3" s="1"/>
  <c r="H48" i="3" s="1"/>
  <c r="F47" i="3"/>
  <c r="G47" i="3" s="1"/>
  <c r="H47" i="3" s="1"/>
  <c r="F46" i="3"/>
  <c r="G46" i="3" s="1"/>
  <c r="H46" i="3" s="1"/>
  <c r="F45" i="3"/>
  <c r="G45" i="3" s="1"/>
  <c r="H45" i="3" s="1"/>
  <c r="F44" i="3"/>
  <c r="G44" i="3" s="1"/>
  <c r="H44" i="3" s="1"/>
  <c r="F43" i="3"/>
  <c r="G43" i="3" s="1"/>
  <c r="H43" i="3" s="1"/>
  <c r="F42" i="3"/>
  <c r="G42" i="3" s="1"/>
  <c r="H42" i="3" s="1"/>
  <c r="F41" i="3"/>
  <c r="G41" i="3" s="1"/>
  <c r="H41" i="3" s="1"/>
  <c r="F40" i="3"/>
  <c r="G40" i="3" s="1"/>
  <c r="H40" i="3" s="1"/>
  <c r="F39" i="3"/>
  <c r="G39" i="3" s="1"/>
  <c r="H39" i="3" s="1"/>
  <c r="G38" i="3"/>
  <c r="H38" i="3" s="1"/>
  <c r="F37" i="3"/>
  <c r="G37" i="3" s="1"/>
  <c r="H37" i="3" s="1"/>
  <c r="F36" i="3"/>
  <c r="G36" i="3" s="1"/>
  <c r="H36" i="3" s="1"/>
  <c r="F35" i="3"/>
  <c r="G35" i="3" s="1"/>
  <c r="H35" i="3" s="1"/>
  <c r="F34" i="3"/>
  <c r="G34" i="3" s="1"/>
  <c r="H34" i="3" s="1"/>
  <c r="F33" i="3"/>
  <c r="G33" i="3" s="1"/>
  <c r="H33" i="3" s="1"/>
  <c r="F32" i="3"/>
  <c r="G32" i="3" s="1"/>
  <c r="H32" i="3" s="1"/>
  <c r="F31" i="3"/>
  <c r="G31" i="3" s="1"/>
  <c r="H31" i="3" s="1"/>
  <c r="F30" i="3"/>
  <c r="G30" i="3" s="1"/>
  <c r="H30" i="3" s="1"/>
  <c r="F29" i="3"/>
  <c r="G29" i="3" s="1"/>
  <c r="H29" i="3" s="1"/>
  <c r="F28" i="3"/>
  <c r="G28" i="3" s="1"/>
  <c r="H28" i="3" s="1"/>
  <c r="F27" i="3"/>
  <c r="G27" i="3" s="1"/>
  <c r="H27" i="3" s="1"/>
  <c r="F26" i="3"/>
  <c r="G26" i="3" s="1"/>
  <c r="H26" i="3" s="1"/>
  <c r="F25" i="3"/>
  <c r="G25" i="3" s="1"/>
  <c r="H25" i="3" s="1"/>
  <c r="F24" i="3"/>
  <c r="G24" i="3" s="1"/>
  <c r="H24" i="3" s="1"/>
  <c r="F23" i="3"/>
  <c r="G23" i="3" s="1"/>
  <c r="H23" i="3" s="1"/>
  <c r="F22" i="3"/>
  <c r="G22" i="3" s="1"/>
  <c r="H22" i="3" s="1"/>
  <c r="G21" i="3"/>
  <c r="H21" i="3" s="1"/>
  <c r="F20" i="3"/>
  <c r="G20" i="3" s="1"/>
  <c r="H20" i="3" s="1"/>
  <c r="F19" i="3"/>
  <c r="G19" i="3" s="1"/>
  <c r="H19" i="3" s="1"/>
  <c r="F18" i="3"/>
  <c r="G18" i="3" s="1"/>
  <c r="H18" i="3" s="1"/>
  <c r="F17" i="3"/>
  <c r="G17" i="3" s="1"/>
  <c r="H17" i="3" s="1"/>
  <c r="F16" i="3"/>
  <c r="G16" i="3" s="1"/>
  <c r="H16" i="3" s="1"/>
  <c r="F15" i="3"/>
  <c r="G15" i="3" s="1"/>
  <c r="H15" i="3" s="1"/>
  <c r="F13" i="3"/>
  <c r="G13" i="3" s="1"/>
  <c r="H13" i="3" s="1"/>
  <c r="F12" i="3"/>
  <c r="G12" i="3" s="1"/>
  <c r="H12" i="3" s="1"/>
  <c r="F11" i="3"/>
  <c r="G11" i="3" s="1"/>
  <c r="H11" i="3" s="1"/>
  <c r="F10" i="3"/>
  <c r="G10" i="3" s="1"/>
  <c r="H10" i="3" s="1"/>
  <c r="F9" i="3"/>
  <c r="G9" i="3" s="1"/>
  <c r="H9" i="3" s="1"/>
  <c r="F8" i="3"/>
  <c r="G8" i="3" s="1"/>
  <c r="H8" i="3" s="1"/>
  <c r="G7" i="3"/>
  <c r="H7" i="3" s="1"/>
  <c r="F8" i="2"/>
  <c r="N94" i="5" l="1"/>
  <c r="F47" i="2"/>
  <c r="G8" i="2"/>
  <c r="H8" i="2" s="1"/>
  <c r="N92" i="5"/>
  <c r="M16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 Carrasco Acosta</author>
  </authors>
  <commentList>
    <comment ref="K7" authorId="0" shapeId="0" xr:uid="{1CAEE180-2178-4CF1-9A5C-2F841116D550}">
      <text>
        <r>
          <rPr>
            <b/>
            <sz val="9"/>
            <color indexed="81"/>
            <rFont val="Tahoma"/>
            <family val="2"/>
          </rPr>
          <t>Tomas Carrasco Acosta:</t>
        </r>
        <r>
          <rPr>
            <sz val="9"/>
            <color indexed="81"/>
            <rFont val="Tahoma"/>
            <family val="2"/>
          </rPr>
          <t xml:space="preserve">
16 alcen cede y 17 alcen casita</t>
        </r>
      </text>
    </comment>
    <comment ref="C11" authorId="0" shapeId="0" xr:uid="{394651A9-2762-485B-967E-23F711171C1B}">
      <text>
        <r>
          <rPr>
            <b/>
            <sz val="9"/>
            <color indexed="81"/>
            <rFont val="Tahoma"/>
            <family val="2"/>
          </rPr>
          <t>Tomas Carrasco Acosta:</t>
        </r>
        <r>
          <rPr>
            <sz val="9"/>
            <color indexed="81"/>
            <rFont val="Tahoma"/>
            <family val="2"/>
          </rPr>
          <t xml:space="preserve">
tenia 19 pero contamos 20
</t>
        </r>
      </text>
    </comment>
    <comment ref="A25" authorId="0" shapeId="0" xr:uid="{9E43102B-885B-4DBB-83E7-D08359BBFC76}">
      <text>
        <r>
          <rPr>
            <b/>
            <sz val="9"/>
            <color indexed="81"/>
            <rFont val="Tahoma"/>
            <family val="2"/>
          </rPr>
          <t xml:space="preserve">Tomas Carrasco Acosta: dos pulgadas no dos hojos
</t>
        </r>
      </text>
    </comment>
    <comment ref="K78" authorId="0" shapeId="0" xr:uid="{A06F6FB1-D147-40A4-827C-6729E2D610DA}">
      <text>
        <r>
          <rPr>
            <b/>
            <sz val="9"/>
            <color indexed="81"/>
            <rFont val="Tahoma"/>
            <family val="2"/>
          </rPr>
          <t>Tomas Carrasco Acosta:</t>
        </r>
        <r>
          <rPr>
            <sz val="9"/>
            <color indexed="81"/>
            <rFont val="Tahoma"/>
            <family val="2"/>
          </rPr>
          <t xml:space="preserve">
5 un paquete  que no se contaron</t>
        </r>
      </text>
    </comment>
    <comment ref="K79" authorId="0" shapeId="0" xr:uid="{494B3476-53A7-41EB-A02C-73D95CAF1AE5}">
      <text>
        <r>
          <rPr>
            <b/>
            <sz val="9"/>
            <color indexed="81"/>
            <rFont val="Tahoma"/>
            <family val="2"/>
          </rPr>
          <t>Tomas Carrasco Acosta:</t>
        </r>
        <r>
          <rPr>
            <sz val="9"/>
            <color indexed="81"/>
            <rFont val="Tahoma"/>
            <family val="2"/>
          </rPr>
          <t xml:space="preserve">
102 conto sebastian</t>
        </r>
      </text>
    </comment>
    <comment ref="K81" authorId="0" shapeId="0" xr:uid="{5091C4A8-1B30-4B50-9578-720FE03A5047}">
      <text>
        <r>
          <rPr>
            <b/>
            <sz val="9"/>
            <color indexed="81"/>
            <rFont val="Tahoma"/>
            <family val="2"/>
          </rPr>
          <t xml:space="preserve">Tomas Carrasco Acosta: 
</t>
        </r>
        <r>
          <rPr>
            <sz val="9"/>
            <color indexed="81"/>
            <rFont val="Tahoma"/>
            <family val="2"/>
          </rPr>
          <t>20 libro record</t>
        </r>
      </text>
    </comment>
    <comment ref="K89" authorId="0" shapeId="0" xr:uid="{1CC76AFE-84FE-4D9A-B2BC-35E7F49230B1}">
      <text>
        <r>
          <rPr>
            <b/>
            <sz val="9"/>
            <color indexed="81"/>
            <rFont val="Tahoma"/>
            <family val="2"/>
          </rPr>
          <t>Tomas Carrasco Acosta:</t>
        </r>
        <r>
          <rPr>
            <sz val="9"/>
            <color indexed="81"/>
            <rFont val="Tahoma"/>
            <family val="2"/>
          </rPr>
          <t xml:space="preserve">
290 Contadas</t>
        </r>
      </text>
    </comment>
    <comment ref="K103" authorId="0" shapeId="0" xr:uid="{AB34F800-FE75-4254-9A8E-E4EBEB8EBD6F}">
      <text>
        <r>
          <rPr>
            <b/>
            <sz val="9"/>
            <color indexed="81"/>
            <rFont val="Tahoma"/>
            <family val="2"/>
          </rPr>
          <t>Tomas Carrasco Acosta:</t>
        </r>
        <r>
          <rPr>
            <sz val="9"/>
            <color indexed="81"/>
            <rFont val="Tahoma"/>
            <family val="2"/>
          </rPr>
          <t xml:space="preserve">hay 3 pizarra
</t>
        </r>
      </text>
    </comment>
    <comment ref="K116" authorId="0" shapeId="0" xr:uid="{4123B413-9F7B-4B9C-BAB9-9A2D5E2CD31B}">
      <text>
        <r>
          <rPr>
            <b/>
            <sz val="9"/>
            <color indexed="81"/>
            <rFont val="Tahoma"/>
            <family val="2"/>
          </rPr>
          <t>Tomas Carrasco Acosta:</t>
        </r>
        <r>
          <rPr>
            <sz val="9"/>
            <color indexed="81"/>
            <rFont val="Tahoma"/>
            <family val="2"/>
          </rPr>
          <t xml:space="preserve">
1,704 contadas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Farah Gonzalez</author>
  </authors>
  <commentList>
    <comment ref="P109" authorId="0" shapeId="0" xr:uid="{3C2A1D3E-A55A-4AAB-9E2B-4D6CBC29D912}">
      <text>
        <r>
          <rPr>
            <b/>
            <sz val="9"/>
            <color indexed="81"/>
            <rFont val="Tahoma"/>
            <family val="2"/>
          </rPr>
          <t>Farah Gonzalez:</t>
        </r>
        <r>
          <rPr>
            <sz val="9"/>
            <color indexed="81"/>
            <rFont val="Tahoma"/>
            <family val="2"/>
          </rPr>
          <t xml:space="preserve">
500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Farah Gonzalez</author>
  </authors>
  <commentList>
    <comment ref="N109" authorId="0" shapeId="0" xr:uid="{60212105-43B9-4A79-9F4D-52B5CF4A4D28}">
      <text>
        <r>
          <rPr>
            <b/>
            <sz val="9"/>
            <color indexed="81"/>
            <rFont val="Tahoma"/>
            <family val="2"/>
          </rPr>
          <t>Farah Gonzalez:</t>
        </r>
        <r>
          <rPr>
            <sz val="9"/>
            <color indexed="81"/>
            <rFont val="Tahoma"/>
            <family val="2"/>
          </rPr>
          <t xml:space="preserve">
500</t>
        </r>
      </text>
    </comment>
  </commentList>
</comments>
</file>

<file path=xl/sharedStrings.xml><?xml version="1.0" encoding="utf-8"?>
<sst xmlns="http://schemas.openxmlformats.org/spreadsheetml/2006/main" count="2467" uniqueCount="357">
  <si>
    <t xml:space="preserve">Descripción </t>
  </si>
  <si>
    <t>Unidad 
de Medida</t>
  </si>
  <si>
    <t>Existencia</t>
  </si>
  <si>
    <t>Costo Unitario</t>
  </si>
  <si>
    <t>Imp. ITBIS</t>
  </si>
  <si>
    <t xml:space="preserve">Precio </t>
  </si>
  <si>
    <t xml:space="preserve">Costo Total </t>
  </si>
  <si>
    <t>Observación</t>
  </si>
  <si>
    <t>Alcohol</t>
  </si>
  <si>
    <t>Galón</t>
  </si>
  <si>
    <t>Agua de Botella 1/20</t>
  </si>
  <si>
    <t>Fardo</t>
  </si>
  <si>
    <t>Agua de Botellón Rellenado</t>
  </si>
  <si>
    <t>Unidad</t>
  </si>
  <si>
    <t>Lata</t>
  </si>
  <si>
    <t>Azúcar Crema 10 lbrs</t>
  </si>
  <si>
    <t>Bandeja Organizadora Metal</t>
  </si>
  <si>
    <t>Bandeja Organizadora Plástica</t>
  </si>
  <si>
    <t>Botellones de Agua</t>
  </si>
  <si>
    <t>Brillos de Fregar Esponja</t>
  </si>
  <si>
    <t>Brillos de Fregar Verde</t>
  </si>
  <si>
    <t>Buzón de Sugerencia</t>
  </si>
  <si>
    <t>Café 1lbs</t>
  </si>
  <si>
    <t>Calculadora Casio Gx12B de Escritorio</t>
  </si>
  <si>
    <t>Calculadora Casio LC-403TV Pequeña de Mano</t>
  </si>
  <si>
    <t>Carpeta de 2 Hoyos</t>
  </si>
  <si>
    <t xml:space="preserve">CD en Blanco </t>
  </si>
  <si>
    <t>Cepillo de pared</t>
  </si>
  <si>
    <t>Chincheta 1/100</t>
  </si>
  <si>
    <t>Paquete</t>
  </si>
  <si>
    <t>Clips Pequeño 1/10 metal 33mm</t>
  </si>
  <si>
    <t>Caja</t>
  </si>
  <si>
    <t>Clips Mediano 1/10 metal 50mm</t>
  </si>
  <si>
    <t>Clips Billetero 25mm</t>
  </si>
  <si>
    <t>Clips Billetero 41mm</t>
  </si>
  <si>
    <t>Clips Billeteros 51mm</t>
  </si>
  <si>
    <t>Cloro</t>
  </si>
  <si>
    <t>Corrector Liquido</t>
  </si>
  <si>
    <t>Corrector Liquido pote</t>
  </si>
  <si>
    <t>Cremora</t>
  </si>
  <si>
    <t>35.3 oz</t>
  </si>
  <si>
    <t>Cubeta de 3gl</t>
  </si>
  <si>
    <t>Desinfectante Mistolín</t>
  </si>
  <si>
    <t>Desinfectante en spray  lisol 19 0z</t>
  </si>
  <si>
    <t>Detergente en Polvo</t>
  </si>
  <si>
    <t>1 Libra</t>
  </si>
  <si>
    <t>Dispensadores de Cinta Pegante</t>
  </si>
  <si>
    <t>Escobillón con Palo</t>
  </si>
  <si>
    <t>Felpa Azul 1/12</t>
  </si>
  <si>
    <t>14 Unidades</t>
  </si>
  <si>
    <t>Filtro de Greca Eléctrica 1/200</t>
  </si>
  <si>
    <t>Filtro de Greca Eléctrica 1/500</t>
  </si>
  <si>
    <t>Folders 8 1/2 x 11  1/100</t>
  </si>
  <si>
    <t>Folders 8 1/2 x 14  1/100</t>
  </si>
  <si>
    <t>Fundas Transparente protectora de Hojas 8 1/2x11</t>
  </si>
  <si>
    <t>Funda 36x54 1/100</t>
  </si>
  <si>
    <t>Funda para Tanques 35x52 1/50 de 55gls</t>
  </si>
  <si>
    <t>Ganchos para Archivar (Macho y Hembra)</t>
  </si>
  <si>
    <t xml:space="preserve">1 de 50 </t>
  </si>
  <si>
    <t>Gel Manitas Limpias</t>
  </si>
  <si>
    <t>Gomitas o Bandas Elásticas No. 18.</t>
  </si>
  <si>
    <t xml:space="preserve">Grapadora </t>
  </si>
  <si>
    <t>Grapas 26/6 1/10</t>
  </si>
  <si>
    <t>Grapas 23/15</t>
  </si>
  <si>
    <t>Grapas 23/13</t>
  </si>
  <si>
    <t>Guantes de Limpieza</t>
  </si>
  <si>
    <t>L,M, LX</t>
  </si>
  <si>
    <t>Humectante Para Dedos</t>
  </si>
  <si>
    <t>Jabón Liquido de Manos</t>
  </si>
  <si>
    <t>Juego de Geometría</t>
  </si>
  <si>
    <t>Label 1/200</t>
  </si>
  <si>
    <t>Lanilla</t>
  </si>
  <si>
    <t>Lapiceros Azul 1/12</t>
  </si>
  <si>
    <t xml:space="preserve">Lapiceros Rojos </t>
  </si>
  <si>
    <t>1 de 12</t>
  </si>
  <si>
    <t>Lápiz de Carbón 1/12</t>
  </si>
  <si>
    <t>Lava Platos</t>
  </si>
  <si>
    <t xml:space="preserve">Libro Récord de 500 </t>
  </si>
  <si>
    <t>Libro Récord de 300</t>
  </si>
  <si>
    <t>Libreta Pequeña</t>
  </si>
  <si>
    <t>Libreta Grande</t>
  </si>
  <si>
    <t>Limpia Cristales</t>
  </si>
  <si>
    <t>Marcadores 12/1 Diferente Colores</t>
  </si>
  <si>
    <t>Marcadores Permanente (Colores)</t>
  </si>
  <si>
    <t>Rojo, Azul y Negro</t>
  </si>
  <si>
    <t>Mascarilla 1/50</t>
  </si>
  <si>
    <t>1 de 50</t>
  </si>
  <si>
    <t>Pala de  Basura</t>
  </si>
  <si>
    <t>Papel Bond  8 1/2 x 11</t>
  </si>
  <si>
    <t>Resma</t>
  </si>
  <si>
    <t>Papel Bond  8 1/2 x 14</t>
  </si>
  <si>
    <t>Papel Higiénico (baño) 1/12</t>
  </si>
  <si>
    <t>Papel toalla 1 de 6</t>
  </si>
  <si>
    <t>Perforadora de 2 hoyos</t>
  </si>
  <si>
    <t>Perforadora de 3 hoyos</t>
  </si>
  <si>
    <t>Papel de Sumadora</t>
  </si>
  <si>
    <t>Papel Carbón 8 1/2x11</t>
  </si>
  <si>
    <t>Pergamino de Hilo Crema para Licencia 8 1/2x11</t>
  </si>
  <si>
    <t>Pendafliex 8 1/2 x 14          1/25</t>
  </si>
  <si>
    <t>Pegamento Ega</t>
  </si>
  <si>
    <t>Post It 3x3 1/5</t>
  </si>
  <si>
    <t>Colores</t>
  </si>
  <si>
    <t>Post It  3x5 1/100   (1/12)</t>
  </si>
  <si>
    <t>Post It  Libreta 1/4</t>
  </si>
  <si>
    <t>11 Unidades</t>
  </si>
  <si>
    <t>Saca Grapas</t>
  </si>
  <si>
    <t xml:space="preserve">Saca Puntas Plástico </t>
  </si>
  <si>
    <t>Saca Puntas Metal  1/12</t>
  </si>
  <si>
    <t>Señalizadores  1/24 de 125</t>
  </si>
  <si>
    <t>Separadores de Pestaña Plástica 1/5</t>
  </si>
  <si>
    <t>1 de 5</t>
  </si>
  <si>
    <t>Servilletas blancas sin diseño 1/5 de 5</t>
  </si>
  <si>
    <t>1 de 500</t>
  </si>
  <si>
    <t>Servilletas de manos</t>
  </si>
  <si>
    <t>Sobre de Carta Pequeño</t>
  </si>
  <si>
    <t>Sobre de Carta 1/500 Blanco</t>
  </si>
  <si>
    <t>627 Unidades</t>
  </si>
  <si>
    <t>Sobre Manila 10 x 15   1/500</t>
  </si>
  <si>
    <t>Sobre Manila 6 1/2 x 9 1/2.   1/500</t>
  </si>
  <si>
    <t>Sobre Manila 7x10</t>
  </si>
  <si>
    <t>Swaper Industriales #26</t>
  </si>
  <si>
    <t xml:space="preserve">Swaper </t>
  </si>
  <si>
    <t>Tabla de Apoyar</t>
  </si>
  <si>
    <t>Tabla de Apoyar Plastica</t>
  </si>
  <si>
    <t>Tape Cinta para Dispensador 12/1</t>
  </si>
  <si>
    <t>Tape doble cara</t>
  </si>
  <si>
    <t>Te Frio Lata</t>
  </si>
  <si>
    <t>33 Litros</t>
  </si>
  <si>
    <t>Te de Manzanilla 1/25</t>
  </si>
  <si>
    <t>Te de Menta 1/25</t>
  </si>
  <si>
    <t>Te de Jasmine 1/25</t>
  </si>
  <si>
    <t>Te de Limón 1/25</t>
  </si>
  <si>
    <t>Te Pimienta 1/20</t>
  </si>
  <si>
    <t>Tijeras</t>
  </si>
  <si>
    <t>Tintas para Sellos 1oz verde</t>
  </si>
  <si>
    <t>Tintas para Sellos 1oz azul</t>
  </si>
  <si>
    <t>Vasos No. 5 de 50</t>
  </si>
  <si>
    <t>Vasos No. 7 de 50</t>
  </si>
  <si>
    <t>Uhu o Barra de Pegamento</t>
  </si>
  <si>
    <t>Zafacón 10 lt</t>
  </si>
  <si>
    <t xml:space="preserve">Zafacón plástico 12lts </t>
  </si>
  <si>
    <t xml:space="preserve">con su tapa </t>
  </si>
  <si>
    <t>Relación de inventario Material de Limpieza</t>
  </si>
  <si>
    <t>Relación de inventario de Material Gastable</t>
  </si>
  <si>
    <t>Relación de inventario de Insumos</t>
  </si>
  <si>
    <t>Post It  2x3 1/24</t>
  </si>
  <si>
    <t>Pendafliex 8 1/2 x 11           1/25</t>
  </si>
  <si>
    <t>Te Verde 1/20</t>
  </si>
  <si>
    <t>Te Jengibre 1/20</t>
  </si>
  <si>
    <t>Total mes de marzo</t>
  </si>
  <si>
    <t>marzo</t>
  </si>
  <si>
    <t>28 de marzo 2023</t>
  </si>
  <si>
    <t>31 de marzo 2023</t>
  </si>
  <si>
    <t xml:space="preserve">marzo </t>
  </si>
  <si>
    <t>Reglas 30 cm</t>
  </si>
  <si>
    <t xml:space="preserve">Sobre Manila de Pago no. 7 </t>
  </si>
  <si>
    <t>Funda de 30 galones 1/500</t>
  </si>
  <si>
    <t>Te de Tila 1/25</t>
  </si>
  <si>
    <t>Funda 17x22 1/100</t>
  </si>
  <si>
    <t xml:space="preserve">Gorro Quirurgico Desechables 1/100 </t>
  </si>
  <si>
    <t>Dispensador para Servilletas</t>
  </si>
  <si>
    <t>Dispensador para Papel Jumbo</t>
  </si>
  <si>
    <t>Desinfectante en spray 8 0z</t>
  </si>
  <si>
    <t>Uniadad</t>
  </si>
  <si>
    <t>Zafacón de 50 Galones</t>
  </si>
  <si>
    <t>Limpiador de Ceramica</t>
  </si>
  <si>
    <t>Galon</t>
  </si>
  <si>
    <t>Cubeta C/Exprimidor 36 Litro</t>
  </si>
  <si>
    <t>Guantes Reforzados Negros</t>
  </si>
  <si>
    <t>Bata Quirurgica Desechables</t>
  </si>
  <si>
    <t>Borradores (gomas de borrar)</t>
  </si>
  <si>
    <t>Entrada</t>
  </si>
  <si>
    <t>Precio</t>
  </si>
  <si>
    <t>Carpeta de 3 Pulgadas</t>
  </si>
  <si>
    <t>Sobre Manila 8 1/2 x 14</t>
  </si>
  <si>
    <t>Sobre Manila 8 1/2 x 11</t>
  </si>
  <si>
    <t>Clips Pequeño metal 33mm</t>
  </si>
  <si>
    <t>Clips Mediano metal 50 mm</t>
  </si>
  <si>
    <t>Calculadora HL 4A de Mano</t>
  </si>
  <si>
    <t>Tape doble cara 3/4</t>
  </si>
  <si>
    <t>Tape o cinta para empaque 2x40 marrón</t>
  </si>
  <si>
    <t>Almohadilla para mouse</t>
  </si>
  <si>
    <t>Caballete o rotafolio ( estante)</t>
  </si>
  <si>
    <t>Pizarra PVC 23x35</t>
  </si>
  <si>
    <t>Reloj de pared</t>
  </si>
  <si>
    <t>Contenedores o Dispensadores de clips</t>
  </si>
  <si>
    <t>Lupa</t>
  </si>
  <si>
    <t>Pizarra corcho 17x23</t>
  </si>
  <si>
    <t>Marzo</t>
  </si>
  <si>
    <t>Total factura abril</t>
  </si>
  <si>
    <t>Existencia
abril</t>
  </si>
  <si>
    <t>Bebedero Agua Fría y Templada</t>
  </si>
  <si>
    <t>Otros</t>
  </si>
  <si>
    <t xml:space="preserve">Cafeteras Eléctricas de 12 tasas </t>
  </si>
  <si>
    <t xml:space="preserve">Unidad </t>
  </si>
  <si>
    <t>Grapas 23/10</t>
  </si>
  <si>
    <t>Bandeja Organizadora completa Metal</t>
  </si>
  <si>
    <t>Bandeja Organizadora  Metal</t>
  </si>
  <si>
    <t xml:space="preserve">Pizarra corcho </t>
  </si>
  <si>
    <t>Clips Billetero 32mm</t>
  </si>
  <si>
    <t>Origen</t>
  </si>
  <si>
    <t>Insumo</t>
  </si>
  <si>
    <t>Limpieza</t>
  </si>
  <si>
    <t>Gastable</t>
  </si>
  <si>
    <t>Bata Quirúrgica Desechables</t>
  </si>
  <si>
    <t>Borradores ( gomas de borrar)</t>
  </si>
  <si>
    <t>Brillo Esponja</t>
  </si>
  <si>
    <t>Carpeta de 2 pulgadas</t>
  </si>
  <si>
    <t>Carpeta de 3 pulgadas</t>
  </si>
  <si>
    <t>Clips Mediano metal 50mm</t>
  </si>
  <si>
    <t xml:space="preserve">Felpa Azul </t>
  </si>
  <si>
    <t>Fundas Transparente protectora de Hojas 8 1/2x11 1/100</t>
  </si>
  <si>
    <t>Fundas 36x54 1/100</t>
  </si>
  <si>
    <t>Fundas de 30 galones 1/500</t>
  </si>
  <si>
    <t>Fundas 17x22 1/100</t>
  </si>
  <si>
    <t xml:space="preserve">Gorro Quirúrgico Desechables 1/100 </t>
  </si>
  <si>
    <t xml:space="preserve">Grapas 26/6 </t>
  </si>
  <si>
    <t>Limpiador de Cerámica</t>
  </si>
  <si>
    <t>Marcadores (Resaltadores) 12/1 Diferente Colores</t>
  </si>
  <si>
    <t>Pala de  Basura ( Recogedor)</t>
  </si>
  <si>
    <t xml:space="preserve">Post It  2x3 </t>
  </si>
  <si>
    <t xml:space="preserve">Post It 3x3 </t>
  </si>
  <si>
    <t xml:space="preserve">Post It  3x5 </t>
  </si>
  <si>
    <t xml:space="preserve">Saca Puntas Metal  </t>
  </si>
  <si>
    <t xml:space="preserve">Señalizadores  </t>
  </si>
  <si>
    <t>Tabla de Apoyar Plástica</t>
  </si>
  <si>
    <t xml:space="preserve">Tape Cinta para Dispensador </t>
  </si>
  <si>
    <t>Entrada 12/04/2023</t>
  </si>
  <si>
    <t>Salidas</t>
  </si>
  <si>
    <t>Inv. Realizado</t>
  </si>
  <si>
    <t>Costo Anterior</t>
  </si>
  <si>
    <t>Costo nuevo</t>
  </si>
  <si>
    <t>Carpeta de 2 Pulgadas</t>
  </si>
  <si>
    <t>Relación de inventario de Material Insumos</t>
  </si>
  <si>
    <t>Al 30 de abril 2023</t>
  </si>
  <si>
    <t xml:space="preserve">Total </t>
  </si>
  <si>
    <t>Diferencia en cantidad</t>
  </si>
  <si>
    <t>Contado físico</t>
  </si>
  <si>
    <t xml:space="preserve">Diferencia </t>
  </si>
  <si>
    <t>Al 31 de mayo 2023</t>
  </si>
  <si>
    <t>Total factura mayo</t>
  </si>
  <si>
    <t>Existencia
mayo</t>
  </si>
  <si>
    <t>Entrada mayo</t>
  </si>
  <si>
    <t>abril final</t>
  </si>
  <si>
    <t>Insumos</t>
  </si>
  <si>
    <t>Gastables</t>
  </si>
  <si>
    <t>paquete</t>
  </si>
  <si>
    <t>Relación de inventario de material insumos</t>
  </si>
  <si>
    <t>Unidad 
de medida</t>
  </si>
  <si>
    <t xml:space="preserve">Costo total </t>
  </si>
  <si>
    <t>Agua de botella 1/20</t>
  </si>
  <si>
    <t>Azúcar de dieta 1/200</t>
  </si>
  <si>
    <t>Azúcar crema 10 lbrs</t>
  </si>
  <si>
    <t>Bandeja organizadora completa metal</t>
  </si>
  <si>
    <t xml:space="preserve">Bandeja organizadora de 3  metal </t>
  </si>
  <si>
    <t>Bandeja organizadora plástica</t>
  </si>
  <si>
    <t>Bebedero agua fría y templada</t>
  </si>
  <si>
    <t>Brillos de fregar esponja</t>
  </si>
  <si>
    <t>Buzón de sugerencia</t>
  </si>
  <si>
    <t xml:space="preserve">Cafeteras eléctricas de 12 tasas </t>
  </si>
  <si>
    <t>Calculadora Casio de bolsillos HL-815</t>
  </si>
  <si>
    <t>Calculadora Casio Gx12B de escritorio</t>
  </si>
  <si>
    <t>Calculadora Casio LC-403TV pequeña de mano</t>
  </si>
  <si>
    <t>Calculadora HL 4A de mano</t>
  </si>
  <si>
    <t xml:space="preserve">CD en blanco </t>
  </si>
  <si>
    <t>Clips billetero 25mm</t>
  </si>
  <si>
    <t>Clips pequeño metal 33mm</t>
  </si>
  <si>
    <t>Clips billetero 32mm</t>
  </si>
  <si>
    <t>Clips billetero 41mm</t>
  </si>
  <si>
    <t>Clips mediano metal 50 mm</t>
  </si>
  <si>
    <t>Clips billeteros 51mm</t>
  </si>
  <si>
    <t>Cubeta C/exprimidor 36 Litro</t>
  </si>
  <si>
    <t>Contenedores o dispensadores de clips</t>
  </si>
  <si>
    <t>Desinfectante mistolín</t>
  </si>
  <si>
    <t>Detergente en polvo</t>
  </si>
  <si>
    <t>Dispensador para papel jumbo</t>
  </si>
  <si>
    <t>Dispensador para servilletas</t>
  </si>
  <si>
    <t>Dispensadores de cinta pegante</t>
  </si>
  <si>
    <t>Escobillón con palo</t>
  </si>
  <si>
    <t>Felpa azul 1/12</t>
  </si>
  <si>
    <t>Filtro de greca eléctrica 1/200</t>
  </si>
  <si>
    <t>Filtro de greca eléctrica 1/500</t>
  </si>
  <si>
    <t>Fundas transparente protectora de hojas 8 1/2x11</t>
  </si>
  <si>
    <t>Ganchos para archivar (macho y hembra)</t>
  </si>
  <si>
    <t>Gel manitas limpias</t>
  </si>
  <si>
    <t>Gomitas o bandas elásticas no. 18.</t>
  </si>
  <si>
    <t>Guantes de limpieza</t>
  </si>
  <si>
    <t>Humectante para dedos</t>
  </si>
  <si>
    <t>Jabón liquido de manos</t>
  </si>
  <si>
    <t>Juego de geometría</t>
  </si>
  <si>
    <t>Lapiceros azul 1/12</t>
  </si>
  <si>
    <t xml:space="preserve">Lapiceros rojos </t>
  </si>
  <si>
    <t>Lápiz de carbón 1/12</t>
  </si>
  <si>
    <t>Lava platos</t>
  </si>
  <si>
    <t>Libreta grande</t>
  </si>
  <si>
    <t>Libreta pequeña</t>
  </si>
  <si>
    <t>Libro récord de 300</t>
  </si>
  <si>
    <t xml:space="preserve">Libro récord de 500 </t>
  </si>
  <si>
    <t>Limpia cristales</t>
  </si>
  <si>
    <t>Marcadores 12/1 diferente colores</t>
  </si>
  <si>
    <t>Marcadores permanente (colores)</t>
  </si>
  <si>
    <t>Pala de basura</t>
  </si>
  <si>
    <t>Papel bond  8 1/2 x 11</t>
  </si>
  <si>
    <t>Papel bond  8 1/2 x 14</t>
  </si>
  <si>
    <t>Papel carbón 8 1/2x11</t>
  </si>
  <si>
    <t>Papel de sumadora</t>
  </si>
  <si>
    <t>Papel higiénico (baño) 1/12</t>
  </si>
  <si>
    <t>Pegamento ega</t>
  </si>
  <si>
    <t>Pergamino de hilo crema para licencia 8 1/2x11</t>
  </si>
  <si>
    <t>Pendafliex 8 1/2 x 11    1/25</t>
  </si>
  <si>
    <t>Pendafliex 8 1/2 x 14   1/25</t>
  </si>
  <si>
    <t>Post It  libreta 1/4</t>
  </si>
  <si>
    <t>Saca grapas</t>
  </si>
  <si>
    <t>Saca puntas metal  1/12</t>
  </si>
  <si>
    <t xml:space="preserve">Saca puntas plástico </t>
  </si>
  <si>
    <t>Sal de mesa</t>
  </si>
  <si>
    <t>Sazón de mezcla para adobar</t>
  </si>
  <si>
    <t>Separadores de pestaña plástica 1/5</t>
  </si>
  <si>
    <t>Sobre de carta 1/500 blanco</t>
  </si>
  <si>
    <t>Sobre manila 10 x 15   1/500</t>
  </si>
  <si>
    <t>Sobre manila 6 1/2 x 9 1/2.   1/500</t>
  </si>
  <si>
    <t>Sobre manila 7x10</t>
  </si>
  <si>
    <t xml:space="preserve">Sobre manila de pago no. 7 </t>
  </si>
  <si>
    <t>Sobre manila 8 1/2 x 11</t>
  </si>
  <si>
    <t>Sobre manila 8 1/2 x 14</t>
  </si>
  <si>
    <t>Swaper industriales #26</t>
  </si>
  <si>
    <t>Tabla de apoyar</t>
  </si>
  <si>
    <t>Tape cinta para dispensador 12/1</t>
  </si>
  <si>
    <t>Tape adhesiva 2" x 100 YDAS</t>
  </si>
  <si>
    <t>Te de jasmine 1/25</t>
  </si>
  <si>
    <t>Te de limón 1/25</t>
  </si>
  <si>
    <t>Te de manzanilla 1/25</t>
  </si>
  <si>
    <t>Te de menta 1/25</t>
  </si>
  <si>
    <t>Te de tila 1/25</t>
  </si>
  <si>
    <t>Te frio lata</t>
  </si>
  <si>
    <t>Te jengibre 1/20</t>
  </si>
  <si>
    <t>Te pimienta 1/20</t>
  </si>
  <si>
    <t>Te verde 1/20</t>
  </si>
  <si>
    <t>Te varios</t>
  </si>
  <si>
    <t>Tintas para sellos 1oz azul</t>
  </si>
  <si>
    <t>Tintas para sellos 1oz verde</t>
  </si>
  <si>
    <t>Uhu o barra de pegamento</t>
  </si>
  <si>
    <t>Vasos no. 5 de 50</t>
  </si>
  <si>
    <t>Vasos no. 7 de 50</t>
  </si>
  <si>
    <t>Zafacón de 50 galones</t>
  </si>
  <si>
    <t>Desinfectante en spray  lisol 19 oz</t>
  </si>
  <si>
    <t>Desinfectante en spray 8 oz</t>
  </si>
  <si>
    <t>Bandeja organizadora  de 2 metal pointer</t>
  </si>
  <si>
    <t>Baterías Duracell AAA</t>
  </si>
  <si>
    <t>Baterías Duracell AA</t>
  </si>
  <si>
    <t>Calculadora Casio de 8 dígitos MS -8F</t>
  </si>
  <si>
    <t>Calculadora Casio MX - 12V de 12 dígitos</t>
  </si>
  <si>
    <t>Limpiador de cerámica</t>
  </si>
  <si>
    <t xml:space="preserve">Pizarra blanca 36X48 marco aluminio </t>
  </si>
  <si>
    <t>Tabla de apoyar plástica</t>
  </si>
  <si>
    <t>Corrector líquido</t>
  </si>
  <si>
    <t>Corrector líquido pote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</si>
</sst>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"/>
    <numFmt numFmtId="165" formatCode="&quot; &quot;* #,##0.00&quot; &quot;;&quot;-&quot;* #,##0.00&quot; &quot;;&quot; &quot;* &quot;-&quot;#&quot; &quot;;&quot; &quot;@&quot; &quot;"/>
    <numFmt numFmtId="166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ova Cond Light"/>
      <family val="2"/>
    </font>
    <font>
      <sz val="12"/>
      <color rgb="FF000000"/>
      <name val="Arial Nova Cond Light"/>
      <family val="2"/>
    </font>
    <font>
      <b/>
      <sz val="12"/>
      <color rgb="FF000000"/>
      <name val="Arial Nova Cond Light"/>
      <family val="2"/>
    </font>
    <font>
      <sz val="11"/>
      <color theme="1"/>
      <name val="Arial Nova Cond Light"/>
      <family val="2"/>
    </font>
    <font>
      <sz val="12"/>
      <name val="Arial Nova Cond Light"/>
      <family val="2"/>
    </font>
    <font>
      <b/>
      <sz val="12"/>
      <color theme="1"/>
      <name val="Arial Nova Cond Light"/>
      <family val="2"/>
    </font>
    <font>
      <b/>
      <sz val="11"/>
      <color rgb="FF000000"/>
      <name val="Arial Nova Cond Light"/>
      <family val="2"/>
    </font>
    <font>
      <sz val="11"/>
      <color rgb="FF000000"/>
      <name val="Arial Nova Cond Light"/>
      <family val="2"/>
    </font>
    <font>
      <sz val="14"/>
      <color rgb="FF000000"/>
      <name val="Arial Nova Cond Light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 Nova Cond Light"/>
      <family val="2"/>
    </font>
    <font>
      <sz val="14"/>
      <color rgb="FF000000"/>
      <name val="Arial Nova Cond Light"/>
      <family val="2"/>
    </font>
    <font>
      <b/>
      <sz val="14"/>
      <color rgb="FF000000"/>
      <name val="Arial Nova Cond Light"/>
      <family val="2"/>
    </font>
  </fonts>
  <fills count="17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3" tint="0.59999389629810485"/>
        <bgColor rgb="FF5B9BD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5B9BD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3" fontId="2" fillId="0" borderId="8" xfId="1" applyFont="1" applyBorder="1"/>
    <xf numFmtId="0" fontId="2" fillId="0" borderId="8" xfId="0" applyFont="1" applyBorder="1"/>
    <xf numFmtId="0" fontId="5" fillId="0" borderId="0" xfId="0" applyFont="1"/>
    <xf numFmtId="0" fontId="3" fillId="0" borderId="7" xfId="0" applyFont="1" applyBorder="1" applyAlignment="1">
      <alignment horizontal="center" wrapText="1"/>
    </xf>
    <xf numFmtId="0" fontId="3" fillId="3" borderId="8" xfId="0" applyFont="1" applyFill="1" applyBorder="1" applyAlignment="1">
      <alignment horizontal="center"/>
    </xf>
    <xf numFmtId="43" fontId="3" fillId="0" borderId="8" xfId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6" xfId="0" applyFont="1" applyFill="1" applyBorder="1"/>
    <xf numFmtId="0" fontId="3" fillId="3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0" fontId="2" fillId="0" borderId="8" xfId="1" applyNumberFormat="1" applyFont="1" applyBorder="1" applyAlignment="1">
      <alignment horizontal="center"/>
    </xf>
    <xf numFmtId="0" fontId="2" fillId="3" borderId="9" xfId="0" applyFont="1" applyFill="1" applyBorder="1"/>
    <xf numFmtId="43" fontId="2" fillId="3" borderId="8" xfId="1" applyFont="1" applyFill="1" applyBorder="1" applyAlignment="1">
      <alignment horizontal="center"/>
    </xf>
    <xf numFmtId="0" fontId="2" fillId="4" borderId="8" xfId="1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7" fontId="2" fillId="0" borderId="8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2" fillId="0" borderId="8" xfId="1" applyNumberFormat="1" applyFont="1" applyBorder="1" applyAlignment="1">
      <alignment horizontal="center" vertical="center"/>
    </xf>
    <xf numFmtId="43" fontId="2" fillId="3" borderId="11" xfId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3" fillId="0" borderId="13" xfId="1" applyFont="1" applyBorder="1" applyAlignment="1">
      <alignment horizontal="center"/>
    </xf>
    <xf numFmtId="43" fontId="3" fillId="0" borderId="14" xfId="1" applyFont="1" applyBorder="1" applyAlignment="1">
      <alignment horizontal="center"/>
    </xf>
    <xf numFmtId="43" fontId="3" fillId="0" borderId="15" xfId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43" fontId="2" fillId="0" borderId="13" xfId="1" applyFont="1" applyBorder="1" applyAlignment="1">
      <alignment horizontal="center"/>
    </xf>
    <xf numFmtId="43" fontId="2" fillId="0" borderId="16" xfId="1" applyFont="1" applyBorder="1" applyAlignment="1">
      <alignment horizontal="center"/>
    </xf>
    <xf numFmtId="43" fontId="2" fillId="0" borderId="17" xfId="1" applyFont="1" applyBorder="1" applyAlignment="1">
      <alignment horizontal="center"/>
    </xf>
    <xf numFmtId="0" fontId="2" fillId="0" borderId="13" xfId="1" applyNumberFormat="1" applyFont="1" applyBorder="1" applyAlignment="1">
      <alignment horizontal="center"/>
    </xf>
    <xf numFmtId="43" fontId="2" fillId="0" borderId="13" xfId="1" applyFont="1" applyBorder="1"/>
    <xf numFmtId="43" fontId="4" fillId="0" borderId="0" xfId="1" applyFont="1" applyBorder="1" applyAlignment="1">
      <alignment horizontal="center"/>
    </xf>
    <xf numFmtId="43" fontId="2" fillId="0" borderId="18" xfId="1" applyFont="1" applyBorder="1"/>
    <xf numFmtId="49" fontId="5" fillId="0" borderId="0" xfId="0" applyNumberFormat="1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3" fontId="4" fillId="2" borderId="23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3" borderId="6" xfId="0" applyFont="1" applyFill="1" applyBorder="1"/>
    <xf numFmtId="0" fontId="9" fillId="0" borderId="0" xfId="0" applyFont="1"/>
    <xf numFmtId="0" fontId="10" fillId="0" borderId="0" xfId="0" applyFont="1" applyAlignment="1">
      <alignment horizontal="center"/>
    </xf>
    <xf numFmtId="43" fontId="5" fillId="0" borderId="0" xfId="1" applyFont="1"/>
    <xf numFmtId="0" fontId="2" fillId="5" borderId="9" xfId="0" applyFont="1" applyFill="1" applyBorder="1"/>
    <xf numFmtId="0" fontId="3" fillId="0" borderId="0" xfId="0" applyFont="1" applyAlignment="1">
      <alignment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wrapText="1"/>
    </xf>
    <xf numFmtId="43" fontId="3" fillId="0" borderId="11" xfId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4" borderId="0" xfId="0" applyFont="1" applyFill="1"/>
    <xf numFmtId="0" fontId="3" fillId="3" borderId="9" xfId="0" applyFont="1" applyFill="1" applyBorder="1"/>
    <xf numFmtId="0" fontId="3" fillId="0" borderId="0" xfId="0" applyFont="1"/>
    <xf numFmtId="0" fontId="4" fillId="3" borderId="0" xfId="0" applyFont="1" applyFill="1"/>
    <xf numFmtId="0" fontId="3" fillId="3" borderId="0" xfId="0" applyFont="1" applyFill="1" applyAlignment="1">
      <alignment horizontal="center"/>
    </xf>
    <xf numFmtId="43" fontId="5" fillId="0" borderId="0" xfId="0" applyNumberFormat="1" applyFont="1"/>
    <xf numFmtId="3" fontId="2" fillId="3" borderId="8" xfId="0" applyNumberFormat="1" applyFont="1" applyFill="1" applyBorder="1" applyAlignment="1">
      <alignment horizontal="center"/>
    </xf>
    <xf numFmtId="0" fontId="2" fillId="3" borderId="25" xfId="0" applyFont="1" applyFill="1" applyBorder="1"/>
    <xf numFmtId="0" fontId="4" fillId="0" borderId="26" xfId="0" applyFont="1" applyBorder="1"/>
    <xf numFmtId="0" fontId="2" fillId="0" borderId="27" xfId="0" applyFont="1" applyBorder="1"/>
    <xf numFmtId="165" fontId="4" fillId="0" borderId="27" xfId="0" applyNumberFormat="1" applyFont="1" applyBorder="1"/>
    <xf numFmtId="165" fontId="4" fillId="0" borderId="28" xfId="0" applyNumberFormat="1" applyFont="1" applyBorder="1"/>
    <xf numFmtId="0" fontId="3" fillId="3" borderId="25" xfId="0" applyFont="1" applyFill="1" applyBorder="1"/>
    <xf numFmtId="0" fontId="3" fillId="0" borderId="15" xfId="0" applyFont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43" fontId="3" fillId="0" borderId="25" xfId="1" applyFont="1" applyBorder="1" applyAlignment="1">
      <alignment horizontal="center"/>
    </xf>
    <xf numFmtId="43" fontId="4" fillId="0" borderId="29" xfId="1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3" fillId="0" borderId="27" xfId="0" applyFont="1" applyBorder="1"/>
    <xf numFmtId="43" fontId="4" fillId="0" borderId="27" xfId="0" applyNumberFormat="1" applyFont="1" applyBorder="1"/>
    <xf numFmtId="0" fontId="4" fillId="0" borderId="27" xfId="0" applyFont="1" applyBorder="1"/>
    <xf numFmtId="43" fontId="4" fillId="0" borderId="28" xfId="0" applyNumberFormat="1" applyFont="1" applyBorder="1"/>
    <xf numFmtId="43" fontId="2" fillId="0" borderId="25" xfId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3" fontId="4" fillId="0" borderId="30" xfId="1" applyFont="1" applyBorder="1" applyAlignment="1">
      <alignment horizontal="center"/>
    </xf>
    <xf numFmtId="43" fontId="4" fillId="0" borderId="31" xfId="1" applyFont="1" applyBorder="1" applyAlignment="1">
      <alignment horizontal="center"/>
    </xf>
    <xf numFmtId="43" fontId="4" fillId="0" borderId="27" xfId="1" applyFont="1" applyBorder="1" applyAlignment="1">
      <alignment horizontal="center"/>
    </xf>
    <xf numFmtId="43" fontId="4" fillId="0" borderId="28" xfId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43" fontId="2" fillId="0" borderId="33" xfId="1" applyFont="1" applyBorder="1"/>
    <xf numFmtId="43" fontId="0" fillId="0" borderId="0" xfId="0" applyNumberFormat="1"/>
    <xf numFmtId="0" fontId="2" fillId="0" borderId="9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43" fontId="2" fillId="0" borderId="9" xfId="1" applyFont="1" applyBorder="1" applyAlignment="1">
      <alignment horizont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43" fontId="2" fillId="0" borderId="9" xfId="1" applyFont="1" applyBorder="1"/>
    <xf numFmtId="43" fontId="2" fillId="0" borderId="11" xfId="1" applyFont="1" applyBorder="1"/>
    <xf numFmtId="43" fontId="2" fillId="0" borderId="12" xfId="1" applyFont="1" applyBorder="1"/>
    <xf numFmtId="43" fontId="2" fillId="0" borderId="14" xfId="1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43" fontId="2" fillId="0" borderId="34" xfId="1" applyFont="1" applyBorder="1" applyAlignment="1">
      <alignment horizontal="center"/>
    </xf>
    <xf numFmtId="43" fontId="2" fillId="0" borderId="35" xfId="1" applyFont="1" applyBorder="1" applyAlignment="1">
      <alignment horizontal="center"/>
    </xf>
    <xf numFmtId="43" fontId="0" fillId="0" borderId="0" xfId="1" applyFont="1"/>
    <xf numFmtId="43" fontId="4" fillId="2" borderId="1" xfId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/>
    </xf>
    <xf numFmtId="43" fontId="2" fillId="5" borderId="8" xfId="1" applyFont="1" applyFill="1" applyBorder="1" applyAlignment="1">
      <alignment horizontal="center"/>
    </xf>
    <xf numFmtId="43" fontId="2" fillId="3" borderId="13" xfId="1" applyFont="1" applyFill="1" applyBorder="1" applyAlignment="1">
      <alignment horizontal="center"/>
    </xf>
    <xf numFmtId="43" fontId="2" fillId="3" borderId="9" xfId="1" applyFont="1" applyFill="1" applyBorder="1" applyAlignment="1">
      <alignment horizontal="center"/>
    </xf>
    <xf numFmtId="43" fontId="6" fillId="3" borderId="8" xfId="1" applyFont="1" applyFill="1" applyBorder="1" applyAlignment="1">
      <alignment horizontal="center"/>
    </xf>
    <xf numFmtId="43" fontId="2" fillId="3" borderId="33" xfId="1" applyFont="1" applyFill="1" applyBorder="1" applyAlignment="1">
      <alignment horizontal="center"/>
    </xf>
    <xf numFmtId="43" fontId="10" fillId="0" borderId="0" xfId="1" applyFont="1" applyAlignment="1">
      <alignment horizontal="center"/>
    </xf>
    <xf numFmtId="0" fontId="2" fillId="6" borderId="9" xfId="0" applyFont="1" applyFill="1" applyBorder="1"/>
    <xf numFmtId="0" fontId="2" fillId="3" borderId="9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2" borderId="28" xfId="0" applyFont="1" applyFill="1" applyBorder="1" applyAlignment="1">
      <alignment horizontal="center" vertical="center" wrapText="1"/>
    </xf>
    <xf numFmtId="0" fontId="3" fillId="6" borderId="9" xfId="0" applyFont="1" applyFill="1" applyBorder="1"/>
    <xf numFmtId="0" fontId="3" fillId="6" borderId="7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/>
    </xf>
    <xf numFmtId="43" fontId="3" fillId="6" borderId="8" xfId="1" applyFont="1" applyFill="1" applyBorder="1" applyAlignment="1">
      <alignment horizontal="center"/>
    </xf>
    <xf numFmtId="43" fontId="2" fillId="6" borderId="8" xfId="1" applyFont="1" applyFill="1" applyBorder="1" applyAlignment="1">
      <alignment horizontal="center"/>
    </xf>
    <xf numFmtId="43" fontId="3" fillId="6" borderId="11" xfId="1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43" fontId="2" fillId="6" borderId="34" xfId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43" fontId="10" fillId="0" borderId="0" xfId="0" applyNumberFormat="1" applyFont="1" applyAlignment="1">
      <alignment horizontal="center"/>
    </xf>
    <xf numFmtId="0" fontId="2" fillId="6" borderId="6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left"/>
    </xf>
    <xf numFmtId="0" fontId="13" fillId="7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3" fontId="13" fillId="6" borderId="8" xfId="0" applyNumberFormat="1" applyFont="1" applyFill="1" applyBorder="1" applyAlignment="1">
      <alignment horizontal="center"/>
    </xf>
    <xf numFmtId="0" fontId="2" fillId="6" borderId="25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center"/>
    </xf>
    <xf numFmtId="0" fontId="13" fillId="6" borderId="13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/>
    </xf>
    <xf numFmtId="166" fontId="3" fillId="0" borderId="0" xfId="1" applyNumberFormat="1" applyFont="1" applyAlignment="1">
      <alignment vertical="top" wrapText="1"/>
    </xf>
    <xf numFmtId="166" fontId="3" fillId="0" borderId="0" xfId="0" applyNumberFormat="1" applyFont="1" applyAlignment="1">
      <alignment vertical="top" wrapText="1"/>
    </xf>
    <xf numFmtId="0" fontId="2" fillId="3" borderId="0" xfId="0" applyFont="1" applyFill="1" applyAlignment="1">
      <alignment horizontal="left"/>
    </xf>
    <xf numFmtId="0" fontId="2" fillId="3" borderId="26" xfId="0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3" fillId="6" borderId="27" xfId="0" applyFont="1" applyFill="1" applyBorder="1" applyAlignment="1">
      <alignment horizontal="center"/>
    </xf>
    <xf numFmtId="0" fontId="2" fillId="6" borderId="36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43" fontId="3" fillId="0" borderId="8" xfId="1" applyFont="1" applyBorder="1" applyAlignment="1">
      <alignment horizontal="left"/>
    </xf>
    <xf numFmtId="43" fontId="3" fillId="0" borderId="8" xfId="1" applyFont="1" applyBorder="1" applyAlignment="1">
      <alignment horizontal="right"/>
    </xf>
    <xf numFmtId="43" fontId="3" fillId="0" borderId="8" xfId="1" applyFont="1" applyBorder="1" applyAlignment="1"/>
    <xf numFmtId="43" fontId="2" fillId="0" borderId="8" xfId="1" applyFont="1" applyBorder="1" applyAlignment="1">
      <alignment horizontal="right"/>
    </xf>
    <xf numFmtId="43" fontId="2" fillId="0" borderId="11" xfId="1" applyFont="1" applyBorder="1" applyAlignment="1">
      <alignment horizontal="right"/>
    </xf>
    <xf numFmtId="43" fontId="2" fillId="6" borderId="8" xfId="1" applyFont="1" applyFill="1" applyBorder="1" applyAlignment="1">
      <alignment horizontal="right"/>
    </xf>
    <xf numFmtId="43" fontId="3" fillId="0" borderId="11" xfId="1" applyFont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43" fontId="3" fillId="6" borderId="8" xfId="1" applyFont="1" applyFill="1" applyBorder="1" applyAlignment="1">
      <alignment horizontal="right"/>
    </xf>
    <xf numFmtId="43" fontId="2" fillId="6" borderId="11" xfId="1" applyFont="1" applyFill="1" applyBorder="1" applyAlignment="1">
      <alignment horizontal="right"/>
    </xf>
    <xf numFmtId="43" fontId="3" fillId="3" borderId="8" xfId="1" applyFont="1" applyFill="1" applyBorder="1" applyAlignment="1">
      <alignment horizontal="right"/>
    </xf>
    <xf numFmtId="43" fontId="2" fillId="3" borderId="11" xfId="1" applyFont="1" applyFill="1" applyBorder="1" applyAlignment="1">
      <alignment horizontal="right"/>
    </xf>
    <xf numFmtId="43" fontId="2" fillId="0" borderId="12" xfId="1" applyFont="1" applyBorder="1" applyAlignment="1">
      <alignment horizontal="right"/>
    </xf>
    <xf numFmtId="43" fontId="2" fillId="6" borderId="13" xfId="1" applyFont="1" applyFill="1" applyBorder="1" applyAlignment="1">
      <alignment horizontal="right"/>
    </xf>
    <xf numFmtId="43" fontId="3" fillId="0" borderId="13" xfId="1" applyFont="1" applyBorder="1" applyAlignment="1">
      <alignment horizontal="right"/>
    </xf>
    <xf numFmtId="43" fontId="3" fillId="0" borderId="25" xfId="1" applyFont="1" applyBorder="1" applyAlignment="1">
      <alignment horizontal="right"/>
    </xf>
    <xf numFmtId="43" fontId="3" fillId="0" borderId="15" xfId="1" applyFont="1" applyBorder="1" applyAlignment="1">
      <alignment horizontal="right"/>
    </xf>
    <xf numFmtId="43" fontId="2" fillId="0" borderId="13" xfId="1" applyFont="1" applyBorder="1" applyAlignment="1">
      <alignment horizontal="right"/>
    </xf>
    <xf numFmtId="43" fontId="3" fillId="0" borderId="0" xfId="1" applyFont="1" applyAlignment="1">
      <alignment vertical="top" wrapText="1"/>
    </xf>
    <xf numFmtId="0" fontId="7" fillId="0" borderId="25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43" fontId="2" fillId="0" borderId="27" xfId="1" applyFont="1" applyBorder="1" applyAlignment="1">
      <alignment horizontal="right"/>
    </xf>
    <xf numFmtId="43" fontId="4" fillId="0" borderId="13" xfId="1" applyFont="1" applyBorder="1" applyAlignment="1">
      <alignment horizontal="center"/>
    </xf>
    <xf numFmtId="43" fontId="2" fillId="0" borderId="30" xfId="1" applyFont="1" applyBorder="1" applyAlignment="1">
      <alignment horizontal="right"/>
    </xf>
    <xf numFmtId="43" fontId="4" fillId="0" borderId="8" xfId="1" applyFont="1" applyBorder="1" applyAlignment="1">
      <alignment horizontal="center"/>
    </xf>
    <xf numFmtId="43" fontId="3" fillId="0" borderId="31" xfId="1" applyFont="1" applyBorder="1" applyAlignment="1">
      <alignment horizontal="right"/>
    </xf>
    <xf numFmtId="43" fontId="4" fillId="0" borderId="25" xfId="1" applyFont="1" applyBorder="1" applyAlignment="1">
      <alignment horizontal="center"/>
    </xf>
    <xf numFmtId="43" fontId="4" fillId="0" borderId="17" xfId="1" applyFont="1" applyBorder="1" applyAlignment="1">
      <alignment horizontal="center"/>
    </xf>
    <xf numFmtId="43" fontId="2" fillId="0" borderId="28" xfId="1" applyFont="1" applyBorder="1" applyAlignment="1">
      <alignment horizontal="right"/>
    </xf>
    <xf numFmtId="43" fontId="2" fillId="3" borderId="34" xfId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43" fontId="4" fillId="10" borderId="1" xfId="1" applyFont="1" applyFill="1" applyBorder="1" applyAlignment="1">
      <alignment horizontal="center" vertical="center" wrapText="1"/>
    </xf>
    <xf numFmtId="0" fontId="4" fillId="10" borderId="30" xfId="0" applyFont="1" applyFill="1" applyBorder="1" applyAlignment="1">
      <alignment horizontal="center" vertical="center"/>
    </xf>
    <xf numFmtId="0" fontId="4" fillId="10" borderId="31" xfId="0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horizontal="center" vertical="center" wrapText="1"/>
    </xf>
    <xf numFmtId="43" fontId="4" fillId="9" borderId="1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5" fillId="9" borderId="26" xfId="0" applyFont="1" applyFill="1" applyBorder="1"/>
    <xf numFmtId="0" fontId="5" fillId="9" borderId="27" xfId="0" applyFont="1" applyFill="1" applyBorder="1"/>
    <xf numFmtId="0" fontId="10" fillId="9" borderId="27" xfId="0" applyFont="1" applyFill="1" applyBorder="1" applyAlignment="1">
      <alignment horizontal="center"/>
    </xf>
    <xf numFmtId="43" fontId="10" fillId="9" borderId="27" xfId="1" applyFont="1" applyFill="1" applyBorder="1" applyAlignment="1">
      <alignment horizontal="center"/>
    </xf>
    <xf numFmtId="0" fontId="10" fillId="9" borderId="2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wrapText="1"/>
    </xf>
    <xf numFmtId="43" fontId="3" fillId="3" borderId="11" xfId="1" applyFont="1" applyFill="1" applyBorder="1" applyAlignment="1">
      <alignment horizontal="center"/>
    </xf>
    <xf numFmtId="0" fontId="0" fillId="3" borderId="0" xfId="0" applyFill="1"/>
    <xf numFmtId="43" fontId="2" fillId="3" borderId="8" xfId="1" applyFont="1" applyFill="1" applyBorder="1"/>
    <xf numFmtId="43" fontId="2" fillId="3" borderId="11" xfId="1" applyFont="1" applyFill="1" applyBorder="1"/>
    <xf numFmtId="0" fontId="3" fillId="3" borderId="7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43" fontId="2" fillId="3" borderId="13" xfId="1" applyFont="1" applyFill="1" applyBorder="1"/>
    <xf numFmtId="43" fontId="2" fillId="3" borderId="12" xfId="1" applyFont="1" applyFill="1" applyBorder="1"/>
    <xf numFmtId="43" fontId="2" fillId="3" borderId="9" xfId="1" applyFont="1" applyFill="1" applyBorder="1"/>
    <xf numFmtId="43" fontId="0" fillId="3" borderId="0" xfId="0" applyNumberFormat="1" applyFill="1"/>
    <xf numFmtId="43" fontId="2" fillId="3" borderId="14" xfId="1" applyFont="1" applyFill="1" applyBorder="1" applyAlignment="1">
      <alignment horizontal="center"/>
    </xf>
    <xf numFmtId="43" fontId="2" fillId="3" borderId="35" xfId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43" fontId="3" fillId="3" borderId="12" xfId="1" applyFont="1" applyFill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43" fontId="16" fillId="0" borderId="0" xfId="1" applyFont="1"/>
    <xf numFmtId="0" fontId="12" fillId="0" borderId="0" xfId="0" applyFont="1"/>
    <xf numFmtId="0" fontId="18" fillId="9" borderId="1" xfId="0" applyFont="1" applyFill="1" applyBorder="1" applyAlignment="1">
      <alignment horizontal="center"/>
    </xf>
    <xf numFmtId="166" fontId="18" fillId="9" borderId="1" xfId="1" applyNumberFormat="1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4" fillId="10" borderId="0" xfId="0" applyFont="1" applyFill="1" applyAlignment="1">
      <alignment horizontal="center" vertical="center" wrapText="1"/>
    </xf>
    <xf numFmtId="0" fontId="2" fillId="3" borderId="36" xfId="0" applyFont="1" applyFill="1" applyBorder="1" applyAlignment="1">
      <alignment horizontal="center"/>
    </xf>
    <xf numFmtId="0" fontId="10" fillId="9" borderId="29" xfId="0" applyFont="1" applyFill="1" applyBorder="1" applyAlignment="1">
      <alignment horizontal="center"/>
    </xf>
    <xf numFmtId="0" fontId="2" fillId="13" borderId="8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43" fontId="2" fillId="3" borderId="25" xfId="1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43" fontId="18" fillId="9" borderId="27" xfId="1" applyFont="1" applyFill="1" applyBorder="1" applyAlignment="1">
      <alignment horizontal="center"/>
    </xf>
    <xf numFmtId="0" fontId="2" fillId="14" borderId="8" xfId="0" applyFont="1" applyFill="1" applyBorder="1" applyAlignment="1">
      <alignment horizontal="center"/>
    </xf>
    <xf numFmtId="0" fontId="3" fillId="14" borderId="8" xfId="0" applyFont="1" applyFill="1" applyBorder="1" applyAlignment="1">
      <alignment horizontal="center"/>
    </xf>
    <xf numFmtId="43" fontId="2" fillId="13" borderId="8" xfId="1" applyFont="1" applyFill="1" applyBorder="1" applyAlignment="1">
      <alignment horizontal="center"/>
    </xf>
    <xf numFmtId="43" fontId="2" fillId="13" borderId="9" xfId="1" applyFont="1" applyFill="1" applyBorder="1" applyAlignment="1">
      <alignment horizontal="center"/>
    </xf>
    <xf numFmtId="43" fontId="2" fillId="13" borderId="11" xfId="1" applyFont="1" applyFill="1" applyBorder="1" applyAlignment="1">
      <alignment horizontal="center"/>
    </xf>
    <xf numFmtId="43" fontId="3" fillId="15" borderId="8" xfId="1" applyFont="1" applyFill="1" applyBorder="1" applyAlignment="1">
      <alignment horizontal="center"/>
    </xf>
    <xf numFmtId="43" fontId="3" fillId="15" borderId="11" xfId="1" applyFont="1" applyFill="1" applyBorder="1" applyAlignment="1">
      <alignment horizontal="center"/>
    </xf>
    <xf numFmtId="43" fontId="2" fillId="15" borderId="11" xfId="1" applyFont="1" applyFill="1" applyBorder="1"/>
    <xf numFmtId="43" fontId="12" fillId="15" borderId="0" xfId="1" applyFont="1" applyFill="1"/>
    <xf numFmtId="43" fontId="12" fillId="16" borderId="0" xfId="1" applyFont="1" applyFill="1"/>
    <xf numFmtId="43" fontId="3" fillId="3" borderId="11" xfId="1" applyFont="1" applyFill="1" applyBorder="1" applyAlignment="1">
      <alignment horizontal="left"/>
    </xf>
    <xf numFmtId="43" fontId="2" fillId="3" borderId="11" xfId="1" applyFont="1" applyFill="1" applyBorder="1" applyAlignment="1">
      <alignment horizontal="left"/>
    </xf>
    <xf numFmtId="43" fontId="2" fillId="3" borderId="10" xfId="1" applyFont="1" applyFill="1" applyBorder="1" applyAlignment="1">
      <alignment horizontal="left"/>
    </xf>
    <xf numFmtId="43" fontId="2" fillId="3" borderId="37" xfId="1" applyFont="1" applyFill="1" applyBorder="1" applyAlignment="1">
      <alignment horizontal="left"/>
    </xf>
    <xf numFmtId="43" fontId="2" fillId="3" borderId="9" xfId="1" applyFont="1" applyFill="1" applyBorder="1" applyAlignment="1">
      <alignment horizontal="left"/>
    </xf>
    <xf numFmtId="43" fontId="2" fillId="3" borderId="8" xfId="1" applyFont="1" applyFill="1" applyBorder="1" applyAlignment="1">
      <alignment horizontal="left"/>
    </xf>
    <xf numFmtId="43" fontId="2" fillId="3" borderId="7" xfId="1" applyFont="1" applyFill="1" applyBorder="1" applyAlignment="1">
      <alignment horizontal="left"/>
    </xf>
    <xf numFmtId="43" fontId="3" fillId="3" borderId="7" xfId="1" applyFont="1" applyFill="1" applyBorder="1" applyAlignment="1">
      <alignment horizontal="left"/>
    </xf>
    <xf numFmtId="43" fontId="2" fillId="3" borderId="15" xfId="1" applyFont="1" applyFill="1" applyBorder="1" applyAlignment="1">
      <alignment horizontal="left"/>
    </xf>
    <xf numFmtId="43" fontId="3" fillId="3" borderId="10" xfId="1" applyFont="1" applyFill="1" applyBorder="1" applyAlignment="1">
      <alignment horizontal="center"/>
    </xf>
    <xf numFmtId="43" fontId="2" fillId="3" borderId="12" xfId="1" applyFont="1" applyFill="1" applyBorder="1" applyAlignment="1">
      <alignment horizontal="left"/>
    </xf>
    <xf numFmtId="43" fontId="3" fillId="3" borderId="36" xfId="1" applyFont="1" applyFill="1" applyBorder="1" applyAlignment="1">
      <alignment horizontal="center"/>
    </xf>
    <xf numFmtId="43" fontId="2" fillId="3" borderId="36" xfId="1" applyFont="1" applyFill="1" applyBorder="1"/>
    <xf numFmtId="43" fontId="2" fillId="3" borderId="36" xfId="1" applyFont="1" applyFill="1" applyBorder="1" applyAlignment="1">
      <alignment horizontal="center"/>
    </xf>
    <xf numFmtId="43" fontId="2" fillId="3" borderId="16" xfId="1" applyFont="1" applyFill="1" applyBorder="1"/>
    <xf numFmtId="43" fontId="2" fillId="3" borderId="38" xfId="1" applyFont="1" applyFill="1" applyBorder="1"/>
    <xf numFmtId="43" fontId="2" fillId="3" borderId="38" xfId="1" applyFont="1" applyFill="1" applyBorder="1" applyAlignment="1">
      <alignment horizontal="center"/>
    </xf>
    <xf numFmtId="43" fontId="2" fillId="3" borderId="34" xfId="1" applyFont="1" applyFill="1" applyBorder="1"/>
    <xf numFmtId="43" fontId="3" fillId="3" borderId="34" xfId="1" applyFont="1" applyFill="1" applyBorder="1" applyAlignment="1">
      <alignment horizontal="center"/>
    </xf>
    <xf numFmtId="43" fontId="2" fillId="3" borderId="14" xfId="1" applyFont="1" applyFill="1" applyBorder="1"/>
    <xf numFmtId="0" fontId="6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64" fontId="4" fillId="0" borderId="19" xfId="0" applyNumberFormat="1" applyFont="1" applyBorder="1" applyAlignment="1">
      <alignment horizontal="left" indent="1"/>
    </xf>
    <xf numFmtId="164" fontId="4" fillId="0" borderId="20" xfId="0" applyNumberFormat="1" applyFont="1" applyBorder="1" applyAlignment="1">
      <alignment horizontal="left" indent="1"/>
    </xf>
    <xf numFmtId="164" fontId="4" fillId="0" borderId="21" xfId="0" applyNumberFormat="1" applyFont="1" applyBorder="1" applyAlignment="1">
      <alignment horizontal="left" indent="1"/>
    </xf>
    <xf numFmtId="164" fontId="4" fillId="0" borderId="22" xfId="0" applyNumberFormat="1" applyFont="1" applyBorder="1" applyAlignment="1">
      <alignment horizontal="left" indent="1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85725</xdr:rowOff>
    </xdr:from>
    <xdr:ext cx="2933696" cy="485775"/>
    <xdr:pic>
      <xdr:nvPicPr>
        <xdr:cNvPr id="2" name="Imagen 1">
          <a:extLst>
            <a:ext uri="{FF2B5EF4-FFF2-40B4-BE49-F238E27FC236}">
              <a16:creationId xmlns:a16="http://schemas.microsoft.com/office/drawing/2014/main" id="{51E15425-6561-4CD2-AEA2-4A0240ADA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5725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1</xdr:col>
      <xdr:colOff>0</xdr:colOff>
      <xdr:row>169</xdr:row>
      <xdr:rowOff>0</xdr:rowOff>
    </xdr:from>
    <xdr:to>
      <xdr:col>1</xdr:col>
      <xdr:colOff>2286000</xdr:colOff>
      <xdr:row>171</xdr:row>
      <xdr:rowOff>171450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FC047DB-97D4-44A9-8085-93AF94FA1071}"/>
            </a:ext>
          </a:extLst>
        </xdr:cNvPr>
        <xdr:cNvSpPr txBox="1"/>
      </xdr:nvSpPr>
      <xdr:spPr>
        <a:xfrm>
          <a:off x="762000" y="30427399"/>
          <a:ext cx="2286000" cy="643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Realizado por:</a:t>
          </a:r>
        </a:p>
        <a:p>
          <a:pPr algn="ctr"/>
          <a:r>
            <a:rPr lang="es-ES" sz="1100" b="1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Juan Carlos Sánchez</a:t>
          </a:r>
        </a:p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de Servicios Generales</a:t>
          </a:r>
        </a:p>
      </xdr:txBody>
    </xdr:sp>
    <xdr:clientData/>
  </xdr:twoCellAnchor>
  <xdr:twoCellAnchor>
    <xdr:from>
      <xdr:col>11</xdr:col>
      <xdr:colOff>733426</xdr:colOff>
      <xdr:row>169</xdr:row>
      <xdr:rowOff>24676</xdr:rowOff>
    </xdr:from>
    <xdr:to>
      <xdr:col>13</xdr:col>
      <xdr:colOff>180975</xdr:colOff>
      <xdr:row>171</xdr:row>
      <xdr:rowOff>209550</xdr:rowOff>
    </xdr:to>
    <xdr:sp macro="" textlink="">
      <xdr:nvSpPr>
        <xdr:cNvPr id="22" name="CuadroTexto 8">
          <a:extLst>
            <a:ext uri="{FF2B5EF4-FFF2-40B4-BE49-F238E27FC236}">
              <a16:creationId xmlns:a16="http://schemas.microsoft.com/office/drawing/2014/main" id="{8EBBE117-5E76-4D88-B122-C745BE9C3AEA}"/>
            </a:ext>
          </a:extLst>
        </xdr:cNvPr>
        <xdr:cNvSpPr txBox="1"/>
      </xdr:nvSpPr>
      <xdr:spPr>
        <a:xfrm>
          <a:off x="6010276" y="30780901"/>
          <a:ext cx="1857374" cy="642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Aprobado por: </a:t>
          </a: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Farah González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División Administrativa</a:t>
          </a:r>
        </a:p>
      </xdr:txBody>
    </xdr:sp>
    <xdr:clientData/>
  </xdr:twoCellAnchor>
  <xdr:twoCellAnchor>
    <xdr:from>
      <xdr:col>2</xdr:col>
      <xdr:colOff>9525</xdr:colOff>
      <xdr:row>169</xdr:row>
      <xdr:rowOff>19049</xdr:rowOff>
    </xdr:from>
    <xdr:to>
      <xdr:col>10</xdr:col>
      <xdr:colOff>666750</xdr:colOff>
      <xdr:row>172</xdr:row>
      <xdr:rowOff>85724</xdr:rowOff>
    </xdr:to>
    <xdr:sp macro="" textlink="">
      <xdr:nvSpPr>
        <xdr:cNvPr id="28" name="CuadroTexto 4">
          <a:extLst>
            <a:ext uri="{FF2B5EF4-FFF2-40B4-BE49-F238E27FC236}">
              <a16:creationId xmlns:a16="http://schemas.microsoft.com/office/drawing/2014/main" id="{53FC61E5-F920-4580-AA7C-75D6CBAF8B4D}"/>
            </a:ext>
          </a:extLst>
        </xdr:cNvPr>
        <xdr:cNvSpPr txBox="1"/>
      </xdr:nvSpPr>
      <xdr:spPr>
        <a:xfrm>
          <a:off x="3590925" y="30775274"/>
          <a:ext cx="150495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Revisado por: </a:t>
          </a: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Tomás Carrasco Acosta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Técnico de Activos.</a:t>
          </a:r>
        </a:p>
      </xdr:txBody>
    </xdr:sp>
    <xdr:clientData/>
  </xdr:twoCellAnchor>
  <xdr:twoCellAnchor>
    <xdr:from>
      <xdr:col>11</xdr:col>
      <xdr:colOff>790575</xdr:colOff>
      <xdr:row>169</xdr:row>
      <xdr:rowOff>0</xdr:rowOff>
    </xdr:from>
    <xdr:to>
      <xdr:col>13</xdr:col>
      <xdr:colOff>28575</xdr:colOff>
      <xdr:row>169</xdr:row>
      <xdr:rowOff>19050</xdr:rowOff>
    </xdr:to>
    <xdr:cxnSp macro="">
      <xdr:nvCxnSpPr>
        <xdr:cNvPr id="26" name="Conector recto 5">
          <a:extLst>
            <a:ext uri="{FF2B5EF4-FFF2-40B4-BE49-F238E27FC236}">
              <a16:creationId xmlns:a16="http://schemas.microsoft.com/office/drawing/2014/main" id="{6770942F-C547-4FA3-BC54-3FEAA082C1C3}"/>
            </a:ext>
          </a:extLst>
        </xdr:cNvPr>
        <xdr:cNvCxnSpPr/>
      </xdr:nvCxnSpPr>
      <xdr:spPr>
        <a:xfrm flipV="1">
          <a:off x="6334125" y="30756225"/>
          <a:ext cx="16478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169</xdr:row>
      <xdr:rowOff>0</xdr:rowOff>
    </xdr:from>
    <xdr:to>
      <xdr:col>9</xdr:col>
      <xdr:colOff>210450</xdr:colOff>
      <xdr:row>169</xdr:row>
      <xdr:rowOff>5626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8E695EC-617C-4416-8DD0-25BCCDE5A04D}"/>
            </a:ext>
          </a:extLst>
        </xdr:cNvPr>
        <xdr:cNvCxnSpPr/>
      </xdr:nvCxnSpPr>
      <xdr:spPr>
        <a:xfrm flipV="1">
          <a:off x="4724400" y="30438001"/>
          <a:ext cx="51348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169</xdr:row>
      <xdr:rowOff>19050</xdr:rowOff>
    </xdr:from>
    <xdr:to>
      <xdr:col>11</xdr:col>
      <xdr:colOff>47625</xdr:colOff>
      <xdr:row>169</xdr:row>
      <xdr:rowOff>28575</xdr:rowOff>
    </xdr:to>
    <xdr:cxnSp macro="">
      <xdr:nvCxnSpPr>
        <xdr:cNvPr id="25" name="Conector recto 8">
          <a:extLst>
            <a:ext uri="{FF2B5EF4-FFF2-40B4-BE49-F238E27FC236}">
              <a16:creationId xmlns:a16="http://schemas.microsoft.com/office/drawing/2014/main" id="{DA75D36A-C33D-4978-B427-918B7862D0D6}"/>
            </a:ext>
          </a:extLst>
        </xdr:cNvPr>
        <xdr:cNvCxnSpPr/>
      </xdr:nvCxnSpPr>
      <xdr:spPr>
        <a:xfrm>
          <a:off x="3581400" y="30775275"/>
          <a:ext cx="17430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</xdr:colOff>
      <xdr:row>169</xdr:row>
      <xdr:rowOff>9525</xdr:rowOff>
    </xdr:from>
    <xdr:to>
      <xdr:col>1</xdr:col>
      <xdr:colOff>1905000</xdr:colOff>
      <xdr:row>169</xdr:row>
      <xdr:rowOff>19050</xdr:rowOff>
    </xdr:to>
    <xdr:cxnSp macro="">
      <xdr:nvCxnSpPr>
        <xdr:cNvPr id="4" name="Conector recto 8">
          <a:extLst>
            <a:ext uri="{FF2B5EF4-FFF2-40B4-BE49-F238E27FC236}">
              <a16:creationId xmlns:a16="http://schemas.microsoft.com/office/drawing/2014/main" id="{99AFA296-824E-449D-93B8-E88C0204BB37}"/>
            </a:ext>
          </a:extLst>
        </xdr:cNvPr>
        <xdr:cNvCxnSpPr/>
      </xdr:nvCxnSpPr>
      <xdr:spPr>
        <a:xfrm>
          <a:off x="914400" y="32594550"/>
          <a:ext cx="17430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85725</xdr:rowOff>
    </xdr:from>
    <xdr:ext cx="2933696" cy="485775"/>
    <xdr:pic>
      <xdr:nvPicPr>
        <xdr:cNvPr id="2" name="Imagen 1">
          <a:extLst>
            <a:ext uri="{FF2B5EF4-FFF2-40B4-BE49-F238E27FC236}">
              <a16:creationId xmlns:a16="http://schemas.microsoft.com/office/drawing/2014/main" id="{0FCDFBA5-76E3-4FA4-A9A1-7ACAD4BB2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5725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85725</xdr:rowOff>
    </xdr:from>
    <xdr:ext cx="2933696" cy="485775"/>
    <xdr:pic>
      <xdr:nvPicPr>
        <xdr:cNvPr id="2" name="Imagen 1">
          <a:extLst>
            <a:ext uri="{FF2B5EF4-FFF2-40B4-BE49-F238E27FC236}">
              <a16:creationId xmlns:a16="http://schemas.microsoft.com/office/drawing/2014/main" id="{229DA9D9-0DB2-4586-A9CD-CEDB77BFF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85725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13</xdr:col>
      <xdr:colOff>9525</xdr:colOff>
      <xdr:row>164</xdr:row>
      <xdr:rowOff>19050</xdr:rowOff>
    </xdr:from>
    <xdr:to>
      <xdr:col>21</xdr:col>
      <xdr:colOff>666750</xdr:colOff>
      <xdr:row>166</xdr:row>
      <xdr:rowOff>119926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B3CB31B-2BF7-4D53-8089-0DE54D157A0D}"/>
            </a:ext>
          </a:extLst>
        </xdr:cNvPr>
        <xdr:cNvSpPr txBox="1"/>
      </xdr:nvSpPr>
      <xdr:spPr>
        <a:xfrm>
          <a:off x="3714750" y="31613475"/>
          <a:ext cx="0" cy="55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Revisado por: 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Tomás Carrasco Acosta</a:t>
          </a:r>
        </a:p>
        <a:p>
          <a:pPr marL="0" indent="0" algn="ctr"/>
          <a:r>
            <a:rPr lang="es-ES" sz="110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Tecnico</a:t>
          </a:r>
          <a:r>
            <a:rPr lang="es-ES" sz="1100" baseline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de Activos.</a:t>
          </a:r>
          <a:endParaRPr lang="es-ES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161925</xdr:colOff>
      <xdr:row>163</xdr:row>
      <xdr:rowOff>224701</xdr:rowOff>
    </xdr:from>
    <xdr:to>
      <xdr:col>20</xdr:col>
      <xdr:colOff>210450</xdr:colOff>
      <xdr:row>164</xdr:row>
      <xdr:rowOff>5626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A2392268-2108-452D-8E30-B58293712759}"/>
            </a:ext>
          </a:extLst>
        </xdr:cNvPr>
        <xdr:cNvCxnSpPr/>
      </xdr:nvCxnSpPr>
      <xdr:spPr>
        <a:xfrm flipV="1">
          <a:off x="3714750" y="31590526"/>
          <a:ext cx="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0</xdr:colOff>
      <xdr:row>0</xdr:row>
      <xdr:rowOff>0</xdr:rowOff>
    </xdr:from>
    <xdr:ext cx="2933696" cy="485775"/>
    <xdr:pic>
      <xdr:nvPicPr>
        <xdr:cNvPr id="9" name="Imagen 8">
          <a:extLst>
            <a:ext uri="{FF2B5EF4-FFF2-40B4-BE49-F238E27FC236}">
              <a16:creationId xmlns:a16="http://schemas.microsoft.com/office/drawing/2014/main" id="{2C03EFB8-267F-4443-88EC-17E3695FB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85725</xdr:rowOff>
    </xdr:from>
    <xdr:ext cx="2933696" cy="485775"/>
    <xdr:pic>
      <xdr:nvPicPr>
        <xdr:cNvPr id="2" name="Imagen 1">
          <a:extLst>
            <a:ext uri="{FF2B5EF4-FFF2-40B4-BE49-F238E27FC236}">
              <a16:creationId xmlns:a16="http://schemas.microsoft.com/office/drawing/2014/main" id="{3E04A070-C72E-49C5-9134-845E87FDD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5725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10</xdr:col>
      <xdr:colOff>0</xdr:colOff>
      <xdr:row>0</xdr:row>
      <xdr:rowOff>0</xdr:rowOff>
    </xdr:from>
    <xdr:ext cx="2933696" cy="485775"/>
    <xdr:pic>
      <xdr:nvPicPr>
        <xdr:cNvPr id="5" name="Imagen 4">
          <a:extLst>
            <a:ext uri="{FF2B5EF4-FFF2-40B4-BE49-F238E27FC236}">
              <a16:creationId xmlns:a16="http://schemas.microsoft.com/office/drawing/2014/main" id="{6C6AD8AD-D43A-4E89-A8EB-232706CBE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933696" cy="485775"/>
    <xdr:pic>
      <xdr:nvPicPr>
        <xdr:cNvPr id="8" name="Imagen 7">
          <a:extLst>
            <a:ext uri="{FF2B5EF4-FFF2-40B4-BE49-F238E27FC236}">
              <a16:creationId xmlns:a16="http://schemas.microsoft.com/office/drawing/2014/main" id="{EC678978-8E2B-4DA8-8A11-F118F5E8C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933696" cy="485775"/>
    <xdr:pic>
      <xdr:nvPicPr>
        <xdr:cNvPr id="8" name="Imagen 7">
          <a:extLst>
            <a:ext uri="{FF2B5EF4-FFF2-40B4-BE49-F238E27FC236}">
              <a16:creationId xmlns:a16="http://schemas.microsoft.com/office/drawing/2014/main" id="{5CF4CCAE-B2DD-4D15-8104-BB3176613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933696" cy="485775"/>
    <xdr:pic>
      <xdr:nvPicPr>
        <xdr:cNvPr id="8" name="Imagen 7">
          <a:extLst>
            <a:ext uri="{FF2B5EF4-FFF2-40B4-BE49-F238E27FC236}">
              <a16:creationId xmlns:a16="http://schemas.microsoft.com/office/drawing/2014/main" id="{F8DF538E-C3CE-49F9-978F-F5572364C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15E3-B083-4FE3-99AE-98C0BE5E73D0}">
  <sheetPr>
    <pageSetUpPr fitToPage="1"/>
  </sheetPr>
  <dimension ref="B3:R172"/>
  <sheetViews>
    <sheetView tabSelected="1" workbookViewId="0">
      <pane xSplit="1" ySplit="6" topLeftCell="B155" activePane="bottomRight" state="frozen"/>
      <selection pane="topRight" activeCell="B1" sqref="B1"/>
      <selection pane="bottomLeft" activeCell="A7" sqref="A7"/>
      <selection pane="bottomRight" activeCell="B167" sqref="B167"/>
    </sheetView>
  </sheetViews>
  <sheetFormatPr baseColWidth="10" defaultRowHeight="18"/>
  <cols>
    <col min="1" max="1" width="11.28515625" customWidth="1"/>
    <col min="2" max="2" width="46.42578125" style="13" customWidth="1"/>
    <col min="3" max="3" width="12.7109375" style="13" customWidth="1"/>
    <col min="4" max="5" width="12.7109375" style="54" hidden="1" customWidth="1"/>
    <col min="6" max="6" width="22.42578125" style="118" hidden="1" customWidth="1"/>
    <col min="7" max="7" width="19.42578125" style="118" hidden="1" customWidth="1"/>
    <col min="8" max="8" width="12.7109375" style="54" hidden="1" customWidth="1"/>
    <col min="9" max="9" width="15.85546875" style="54" hidden="1" customWidth="1"/>
    <col min="10" max="10" width="12.7109375" style="54" hidden="1" customWidth="1"/>
    <col min="11" max="11" width="12.7109375" style="54" customWidth="1"/>
    <col min="12" max="12" width="15.85546875" style="54" customWidth="1"/>
    <col min="13" max="13" width="20.28515625" style="54" customWidth="1"/>
    <col min="14" max="14" width="0" hidden="1" customWidth="1"/>
  </cols>
  <sheetData>
    <row r="3" spans="2:14" ht="15">
      <c r="B3"/>
      <c r="C3"/>
      <c r="D3"/>
      <c r="E3"/>
      <c r="F3" s="250" t="s">
        <v>245</v>
      </c>
      <c r="G3" s="110"/>
      <c r="H3"/>
      <c r="I3"/>
      <c r="J3"/>
      <c r="K3"/>
      <c r="L3"/>
      <c r="M3"/>
    </row>
    <row r="4" spans="2:14" ht="15.75">
      <c r="B4" s="273" t="s">
        <v>247</v>
      </c>
      <c r="C4"/>
      <c r="D4"/>
      <c r="E4"/>
      <c r="F4" s="249" t="s">
        <v>244</v>
      </c>
      <c r="G4" s="110"/>
      <c r="H4"/>
      <c r="I4"/>
      <c r="J4"/>
      <c r="K4"/>
      <c r="L4"/>
      <c r="M4"/>
    </row>
    <row r="5" spans="2:14" ht="16.5" thickBot="1">
      <c r="B5" s="273" t="s">
        <v>239</v>
      </c>
      <c r="C5"/>
      <c r="D5"/>
      <c r="E5"/>
      <c r="F5" s="110"/>
      <c r="G5" s="110"/>
      <c r="H5"/>
      <c r="I5"/>
      <c r="J5"/>
      <c r="K5"/>
      <c r="L5"/>
      <c r="M5"/>
    </row>
    <row r="6" spans="2:14" ht="32.25" thickBot="1">
      <c r="B6" s="194" t="s">
        <v>0</v>
      </c>
      <c r="C6" s="200" t="s">
        <v>248</v>
      </c>
      <c r="D6" s="200" t="s">
        <v>243</v>
      </c>
      <c r="E6" s="196" t="s">
        <v>242</v>
      </c>
      <c r="F6" s="197" t="s">
        <v>172</v>
      </c>
      <c r="G6" s="197" t="s">
        <v>240</v>
      </c>
      <c r="H6" s="196" t="s">
        <v>3</v>
      </c>
      <c r="I6" s="198" t="s">
        <v>4</v>
      </c>
      <c r="J6" s="199" t="s">
        <v>5</v>
      </c>
      <c r="K6" s="196" t="s">
        <v>241</v>
      </c>
      <c r="L6" s="196" t="s">
        <v>172</v>
      </c>
      <c r="M6" s="200" t="s">
        <v>249</v>
      </c>
    </row>
    <row r="7" spans="2:14" ht="15.75">
      <c r="B7" s="18" t="s">
        <v>250</v>
      </c>
      <c r="C7" s="208" t="s">
        <v>11</v>
      </c>
      <c r="D7" s="19">
        <v>33</v>
      </c>
      <c r="E7" s="230">
        <v>50</v>
      </c>
      <c r="F7" s="209">
        <v>150</v>
      </c>
      <c r="G7" s="209">
        <f>F7*E7</f>
        <v>7500</v>
      </c>
      <c r="H7" s="209">
        <v>150</v>
      </c>
      <c r="I7" s="209">
        <f>H7*0%</f>
        <v>0</v>
      </c>
      <c r="J7" s="262">
        <f>I7+H7</f>
        <v>150</v>
      </c>
      <c r="K7" s="272">
        <v>27</v>
      </c>
      <c r="L7" s="251">
        <v>150</v>
      </c>
      <c r="M7" s="209">
        <v>4050</v>
      </c>
      <c r="N7" s="210"/>
    </row>
    <row r="8" spans="2:14" ht="15.75">
      <c r="B8" s="24" t="s">
        <v>8</v>
      </c>
      <c r="C8" s="121" t="s">
        <v>9</v>
      </c>
      <c r="D8" s="10">
        <v>6</v>
      </c>
      <c r="E8" s="10"/>
      <c r="F8" s="212">
        <v>826</v>
      </c>
      <c r="G8" s="112">
        <f t="shared" ref="G8:G64" si="0">F8*E8</f>
        <v>0</v>
      </c>
      <c r="H8" s="211">
        <v>700</v>
      </c>
      <c r="I8" s="212">
        <f>+H8*18%</f>
        <v>126</v>
      </c>
      <c r="J8" s="263">
        <f>I8+H8</f>
        <v>826</v>
      </c>
      <c r="K8" s="97">
        <v>5</v>
      </c>
      <c r="L8" s="252">
        <v>826</v>
      </c>
      <c r="M8" s="209">
        <v>4130</v>
      </c>
      <c r="N8" s="210"/>
    </row>
    <row r="9" spans="2:14" ht="15.75">
      <c r="B9" s="52" t="s">
        <v>181</v>
      </c>
      <c r="C9" s="139" t="s">
        <v>13</v>
      </c>
      <c r="D9" s="102">
        <v>20</v>
      </c>
      <c r="E9" s="10"/>
      <c r="F9" s="212">
        <v>855.5</v>
      </c>
      <c r="G9" s="112">
        <f t="shared" si="0"/>
        <v>0</v>
      </c>
      <c r="H9" s="211"/>
      <c r="I9" s="212"/>
      <c r="J9" s="263"/>
      <c r="K9" s="97">
        <v>56</v>
      </c>
      <c r="L9" s="252">
        <v>855.5</v>
      </c>
      <c r="M9" s="209">
        <v>47908</v>
      </c>
      <c r="N9" s="210"/>
    </row>
    <row r="10" spans="2:14" ht="15.75">
      <c r="B10" s="52" t="s">
        <v>251</v>
      </c>
      <c r="C10" s="139" t="s">
        <v>31</v>
      </c>
      <c r="D10" s="102"/>
      <c r="E10" s="241">
        <v>1</v>
      </c>
      <c r="F10" s="248">
        <v>3304</v>
      </c>
      <c r="G10" s="112">
        <f t="shared" si="0"/>
        <v>3304</v>
      </c>
      <c r="H10" s="211"/>
      <c r="I10" s="212"/>
      <c r="J10" s="263"/>
      <c r="K10" s="97">
        <v>1</v>
      </c>
      <c r="L10" s="252">
        <v>3304</v>
      </c>
      <c r="M10" s="209">
        <v>3304</v>
      </c>
      <c r="N10" s="210"/>
    </row>
    <row r="11" spans="2:14" ht="15.75">
      <c r="B11" s="64" t="s">
        <v>252</v>
      </c>
      <c r="C11" s="213" t="s">
        <v>13</v>
      </c>
      <c r="D11" s="102">
        <v>9</v>
      </c>
      <c r="E11" s="15"/>
      <c r="F11" s="247">
        <v>312.7</v>
      </c>
      <c r="G11" s="112">
        <f t="shared" si="0"/>
        <v>0</v>
      </c>
      <c r="H11" s="112">
        <v>265</v>
      </c>
      <c r="I11" s="209">
        <f>H11*18%</f>
        <v>47.699999999999996</v>
      </c>
      <c r="J11" s="262">
        <f t="shared" ref="J11:J20" si="1">I11+H11</f>
        <v>312.7</v>
      </c>
      <c r="K11" s="97">
        <v>34</v>
      </c>
      <c r="L11" s="251">
        <v>413</v>
      </c>
      <c r="M11" s="209">
        <v>14042</v>
      </c>
      <c r="N11" s="210"/>
    </row>
    <row r="12" spans="2:14" ht="15.75">
      <c r="B12" s="24" t="s">
        <v>253</v>
      </c>
      <c r="C12" s="121" t="s">
        <v>13</v>
      </c>
      <c r="D12" s="102">
        <v>22</v>
      </c>
      <c r="E12" s="10"/>
      <c r="F12" s="32">
        <v>1731.2</v>
      </c>
      <c r="G12" s="112">
        <f t="shared" si="0"/>
        <v>0</v>
      </c>
      <c r="H12" s="25">
        <v>1467.12</v>
      </c>
      <c r="I12" s="32">
        <f>+H12*18%</f>
        <v>264.08159999999998</v>
      </c>
      <c r="J12" s="264">
        <f>I12+H12</f>
        <v>1731.2015999999999</v>
      </c>
      <c r="K12" s="97">
        <v>12</v>
      </c>
      <c r="L12" s="252">
        <v>1731.2</v>
      </c>
      <c r="M12" s="209">
        <v>20774.400000000001</v>
      </c>
      <c r="N12" s="210"/>
    </row>
    <row r="13" spans="2:14" ht="15.75">
      <c r="B13" s="52" t="s">
        <v>347</v>
      </c>
      <c r="C13" s="121" t="s">
        <v>13</v>
      </c>
      <c r="D13" s="102"/>
      <c r="E13" s="235">
        <v>5</v>
      </c>
      <c r="F13" s="245">
        <v>855.5</v>
      </c>
      <c r="G13" s="112">
        <f t="shared" si="0"/>
        <v>4277.5</v>
      </c>
      <c r="H13" s="25"/>
      <c r="I13" s="32"/>
      <c r="J13" s="264"/>
      <c r="K13" s="97">
        <v>5</v>
      </c>
      <c r="L13" s="252">
        <v>855.5</v>
      </c>
      <c r="M13" s="209">
        <v>4277.5</v>
      </c>
      <c r="N13" s="210"/>
    </row>
    <row r="14" spans="2:14" ht="15.75">
      <c r="B14" s="52" t="s">
        <v>254</v>
      </c>
      <c r="C14" s="121" t="s">
        <v>13</v>
      </c>
      <c r="D14" s="102">
        <v>20</v>
      </c>
      <c r="E14" s="10"/>
      <c r="F14" s="32">
        <v>2065</v>
      </c>
      <c r="G14" s="112">
        <f t="shared" si="0"/>
        <v>0</v>
      </c>
      <c r="H14" s="25"/>
      <c r="I14" s="32"/>
      <c r="J14" s="264"/>
      <c r="K14" s="97">
        <v>20</v>
      </c>
      <c r="L14" s="252">
        <v>2065</v>
      </c>
      <c r="M14" s="209">
        <v>41300</v>
      </c>
      <c r="N14" s="210"/>
    </row>
    <row r="15" spans="2:14" ht="15.75">
      <c r="B15" s="24" t="s">
        <v>255</v>
      </c>
      <c r="C15" s="121" t="s">
        <v>13</v>
      </c>
      <c r="D15" s="102">
        <v>7</v>
      </c>
      <c r="E15" s="10"/>
      <c r="F15" s="32">
        <v>1008.9</v>
      </c>
      <c r="G15" s="112">
        <f t="shared" si="0"/>
        <v>0</v>
      </c>
      <c r="H15" s="25">
        <v>855</v>
      </c>
      <c r="I15" s="32">
        <f>+H15*18%</f>
        <v>153.9</v>
      </c>
      <c r="J15" s="264">
        <f t="shared" si="1"/>
        <v>1008.9</v>
      </c>
      <c r="K15" s="97">
        <v>7</v>
      </c>
      <c r="L15" s="252">
        <v>1008.9</v>
      </c>
      <c r="M15" s="209">
        <v>7062.3</v>
      </c>
      <c r="N15" s="210"/>
    </row>
    <row r="16" spans="2:14" ht="15.75">
      <c r="B16" s="52" t="s">
        <v>348</v>
      </c>
      <c r="C16" s="121" t="s">
        <v>13</v>
      </c>
      <c r="D16" s="102"/>
      <c r="E16" s="235">
        <v>10</v>
      </c>
      <c r="F16" s="212">
        <v>278.185</v>
      </c>
      <c r="G16" s="112">
        <f t="shared" si="0"/>
        <v>2781.85</v>
      </c>
      <c r="H16" s="211"/>
      <c r="I16" s="212"/>
      <c r="J16" s="263"/>
      <c r="K16" s="97">
        <v>12</v>
      </c>
      <c r="L16" s="252">
        <v>69.546199999999999</v>
      </c>
      <c r="M16" s="209">
        <v>834.55439999999999</v>
      </c>
      <c r="N16" s="210"/>
    </row>
    <row r="17" spans="2:14" ht="15.75">
      <c r="B17" s="52" t="s">
        <v>349</v>
      </c>
      <c r="C17" s="121" t="s">
        <v>13</v>
      </c>
      <c r="D17" s="102"/>
      <c r="E17" s="235">
        <v>5</v>
      </c>
      <c r="F17" s="212">
        <v>278.185</v>
      </c>
      <c r="G17" s="112">
        <f t="shared" si="0"/>
        <v>1390.925</v>
      </c>
      <c r="H17" s="211"/>
      <c r="I17" s="212"/>
      <c r="J17" s="263"/>
      <c r="K17" s="97">
        <v>20</v>
      </c>
      <c r="L17" s="252">
        <v>69.546199999999999</v>
      </c>
      <c r="M17" s="209">
        <v>1390.924</v>
      </c>
      <c r="N17" s="210"/>
    </row>
    <row r="18" spans="2:14" ht="15.75">
      <c r="B18" s="52" t="s">
        <v>256</v>
      </c>
      <c r="C18" s="121" t="s">
        <v>13</v>
      </c>
      <c r="D18" s="102">
        <v>9</v>
      </c>
      <c r="E18" s="10"/>
      <c r="F18" s="212">
        <v>8024</v>
      </c>
      <c r="G18" s="112">
        <f t="shared" si="0"/>
        <v>0</v>
      </c>
      <c r="H18" s="211"/>
      <c r="I18" s="212"/>
      <c r="J18" s="263"/>
      <c r="K18" s="97">
        <v>4</v>
      </c>
      <c r="L18" s="252">
        <v>8024</v>
      </c>
      <c r="M18" s="209">
        <v>32096</v>
      </c>
      <c r="N18" s="210"/>
    </row>
    <row r="19" spans="2:14" ht="15.75">
      <c r="B19" s="24" t="s">
        <v>257</v>
      </c>
      <c r="C19" s="121" t="s">
        <v>13</v>
      </c>
      <c r="D19" s="102">
        <v>29</v>
      </c>
      <c r="E19" s="10"/>
      <c r="F19" s="212">
        <v>29.5</v>
      </c>
      <c r="G19" s="112">
        <f t="shared" si="0"/>
        <v>0</v>
      </c>
      <c r="H19" s="211">
        <v>25</v>
      </c>
      <c r="I19" s="212">
        <f>+H19*18%</f>
        <v>4.5</v>
      </c>
      <c r="J19" s="263">
        <f t="shared" si="1"/>
        <v>29.5</v>
      </c>
      <c r="K19" s="97">
        <v>14</v>
      </c>
      <c r="L19" s="252">
        <v>29.5</v>
      </c>
      <c r="M19" s="209">
        <v>413</v>
      </c>
      <c r="N19" s="210"/>
    </row>
    <row r="20" spans="2:14" ht="15.75" hidden="1">
      <c r="B20" s="24" t="s">
        <v>20</v>
      </c>
      <c r="C20" s="121" t="s">
        <v>13</v>
      </c>
      <c r="D20" s="102"/>
      <c r="E20" s="10"/>
      <c r="F20" s="212"/>
      <c r="G20" s="112">
        <f t="shared" si="0"/>
        <v>0</v>
      </c>
      <c r="H20" s="211">
        <v>15</v>
      </c>
      <c r="I20" s="212">
        <f>+H20*18%</f>
        <v>2.6999999999999997</v>
      </c>
      <c r="J20" s="263">
        <f t="shared" si="1"/>
        <v>17.7</v>
      </c>
      <c r="K20" s="97"/>
      <c r="L20" s="252"/>
      <c r="M20" s="209">
        <v>0</v>
      </c>
      <c r="N20" s="210"/>
    </row>
    <row r="21" spans="2:14" ht="15.75">
      <c r="B21" s="24" t="s">
        <v>170</v>
      </c>
      <c r="C21" s="121" t="s">
        <v>13</v>
      </c>
      <c r="D21" s="102">
        <v>44</v>
      </c>
      <c r="E21" s="10"/>
      <c r="F21" s="212">
        <v>8.85</v>
      </c>
      <c r="G21" s="112">
        <f t="shared" si="0"/>
        <v>0</v>
      </c>
      <c r="H21" s="211"/>
      <c r="I21" s="212"/>
      <c r="J21" s="263"/>
      <c r="K21" s="97">
        <v>42</v>
      </c>
      <c r="L21" s="252">
        <v>8.85</v>
      </c>
      <c r="M21" s="209">
        <v>371.7</v>
      </c>
      <c r="N21" s="210"/>
    </row>
    <row r="22" spans="2:14" ht="15.75">
      <c r="B22" s="24" t="s">
        <v>258</v>
      </c>
      <c r="C22" s="121" t="s">
        <v>13</v>
      </c>
      <c r="D22" s="102">
        <v>2</v>
      </c>
      <c r="E22" s="10"/>
      <c r="F22" s="32">
        <v>3835</v>
      </c>
      <c r="G22" s="112">
        <f t="shared" si="0"/>
        <v>0</v>
      </c>
      <c r="H22" s="25">
        <v>3250</v>
      </c>
      <c r="I22" s="32">
        <f>+H22*18%</f>
        <v>585</v>
      </c>
      <c r="J22" s="264">
        <f t="shared" ref="J22:J64" si="2">I22+H22</f>
        <v>3835</v>
      </c>
      <c r="K22" s="97">
        <v>2</v>
      </c>
      <c r="L22" s="252">
        <v>3835</v>
      </c>
      <c r="M22" s="209">
        <v>7670</v>
      </c>
      <c r="N22" s="210"/>
    </row>
    <row r="23" spans="2:14" ht="15.75">
      <c r="B23" s="24" t="s">
        <v>182</v>
      </c>
      <c r="C23" s="121" t="s">
        <v>13</v>
      </c>
      <c r="D23" s="102">
        <v>3</v>
      </c>
      <c r="E23" s="10"/>
      <c r="F23" s="32">
        <v>3835</v>
      </c>
      <c r="G23" s="112">
        <f t="shared" si="0"/>
        <v>0</v>
      </c>
      <c r="H23" s="25"/>
      <c r="I23" s="32"/>
      <c r="J23" s="264"/>
      <c r="K23" s="97">
        <v>3</v>
      </c>
      <c r="L23" s="252">
        <v>3835</v>
      </c>
      <c r="M23" s="209">
        <v>11505</v>
      </c>
      <c r="N23" s="210"/>
    </row>
    <row r="24" spans="2:14" ht="15.75">
      <c r="B24" s="64" t="s">
        <v>22</v>
      </c>
      <c r="C24" s="213" t="s">
        <v>13</v>
      </c>
      <c r="D24" s="102">
        <v>300</v>
      </c>
      <c r="E24" s="15"/>
      <c r="F24" s="247">
        <v>302.08</v>
      </c>
      <c r="G24" s="112">
        <f t="shared" si="0"/>
        <v>0</v>
      </c>
      <c r="H24" s="112">
        <v>256</v>
      </c>
      <c r="I24" s="209">
        <f>H24*18%</f>
        <v>46.08</v>
      </c>
      <c r="J24" s="262">
        <f t="shared" si="2"/>
        <v>302.08</v>
      </c>
      <c r="K24" s="97">
        <v>461</v>
      </c>
      <c r="L24" s="251">
        <v>336.3</v>
      </c>
      <c r="M24" s="209">
        <v>155034.30000000002</v>
      </c>
      <c r="N24" s="210"/>
    </row>
    <row r="25" spans="2:14" ht="15.75">
      <c r="B25" s="52" t="s">
        <v>259</v>
      </c>
      <c r="C25" s="213" t="s">
        <v>13</v>
      </c>
      <c r="D25" s="102">
        <v>4</v>
      </c>
      <c r="E25" s="15"/>
      <c r="F25" s="209">
        <v>3127</v>
      </c>
      <c r="G25" s="112">
        <f t="shared" si="0"/>
        <v>0</v>
      </c>
      <c r="H25" s="112"/>
      <c r="I25" s="209"/>
      <c r="J25" s="262"/>
      <c r="K25" s="97">
        <v>3</v>
      </c>
      <c r="L25" s="251">
        <v>3127</v>
      </c>
      <c r="M25" s="209">
        <v>9381</v>
      </c>
      <c r="N25" s="210"/>
    </row>
    <row r="26" spans="2:14" ht="15.75">
      <c r="B26" s="52" t="s">
        <v>350</v>
      </c>
      <c r="C26" s="213" t="s">
        <v>13</v>
      </c>
      <c r="D26" s="102"/>
      <c r="E26" s="236">
        <v>10</v>
      </c>
      <c r="F26" s="209">
        <v>810.89599999999996</v>
      </c>
      <c r="G26" s="112">
        <f t="shared" si="0"/>
        <v>8108.9599999999991</v>
      </c>
      <c r="H26" s="112"/>
      <c r="I26" s="209"/>
      <c r="J26" s="262"/>
      <c r="K26" s="97">
        <v>10</v>
      </c>
      <c r="L26" s="251">
        <v>810.89599999999996</v>
      </c>
      <c r="M26" s="209">
        <v>8108.9599999999991</v>
      </c>
      <c r="N26" s="210"/>
    </row>
    <row r="27" spans="2:14" ht="15.75">
      <c r="B27" s="52" t="s">
        <v>351</v>
      </c>
      <c r="C27" s="213" t="s">
        <v>13</v>
      </c>
      <c r="D27" s="102"/>
      <c r="E27" s="236">
        <v>30</v>
      </c>
      <c r="F27" s="209">
        <v>600.62</v>
      </c>
      <c r="G27" s="112">
        <f t="shared" si="0"/>
        <v>18018.599999999999</v>
      </c>
      <c r="H27" s="112"/>
      <c r="I27" s="209"/>
      <c r="J27" s="262"/>
      <c r="K27" s="97">
        <v>26</v>
      </c>
      <c r="L27" s="251">
        <v>600.62</v>
      </c>
      <c r="M27" s="209">
        <v>15616.12</v>
      </c>
      <c r="N27" s="210"/>
    </row>
    <row r="28" spans="2:14" ht="15.75">
      <c r="B28" s="52" t="s">
        <v>260</v>
      </c>
      <c r="C28" s="213" t="s">
        <v>13</v>
      </c>
      <c r="D28" s="102"/>
      <c r="E28" s="236">
        <v>9</v>
      </c>
      <c r="F28" s="209">
        <v>372.23099999999999</v>
      </c>
      <c r="G28" s="112">
        <f t="shared" si="0"/>
        <v>3350.0789999999997</v>
      </c>
      <c r="H28" s="112"/>
      <c r="I28" s="209"/>
      <c r="J28" s="262"/>
      <c r="K28" s="97">
        <v>9</v>
      </c>
      <c r="L28" s="251">
        <v>372.23099999999999</v>
      </c>
      <c r="M28" s="209">
        <v>3350.0789999999997</v>
      </c>
      <c r="N28" s="210"/>
    </row>
    <row r="29" spans="2:14" ht="15.75">
      <c r="B29" s="24" t="s">
        <v>261</v>
      </c>
      <c r="C29" s="121" t="s">
        <v>13</v>
      </c>
      <c r="D29" s="102">
        <v>3</v>
      </c>
      <c r="E29" s="10"/>
      <c r="F29" s="32">
        <v>2950</v>
      </c>
      <c r="G29" s="112">
        <f t="shared" si="0"/>
        <v>0</v>
      </c>
      <c r="H29" s="25">
        <v>2500</v>
      </c>
      <c r="I29" s="32">
        <f t="shared" ref="I29:I46" si="3">+H29*18%</f>
        <v>450</v>
      </c>
      <c r="J29" s="264">
        <f t="shared" si="2"/>
        <v>2950</v>
      </c>
      <c r="K29" s="97">
        <v>3</v>
      </c>
      <c r="L29" s="252">
        <v>2950</v>
      </c>
      <c r="M29" s="209">
        <v>8850</v>
      </c>
      <c r="N29" s="210"/>
    </row>
    <row r="30" spans="2:14" ht="15.75">
      <c r="B30" s="24" t="s">
        <v>262</v>
      </c>
      <c r="C30" s="121" t="s">
        <v>13</v>
      </c>
      <c r="D30" s="102">
        <v>23</v>
      </c>
      <c r="E30" s="10"/>
      <c r="F30" s="32">
        <v>257.24</v>
      </c>
      <c r="G30" s="112">
        <f t="shared" si="0"/>
        <v>0</v>
      </c>
      <c r="H30" s="25">
        <v>218</v>
      </c>
      <c r="I30" s="32">
        <f t="shared" si="3"/>
        <v>39.24</v>
      </c>
      <c r="J30" s="264">
        <f t="shared" si="2"/>
        <v>257.24</v>
      </c>
      <c r="K30" s="97">
        <v>17</v>
      </c>
      <c r="L30" s="252">
        <v>257.24</v>
      </c>
      <c r="M30" s="209">
        <v>4373.08</v>
      </c>
      <c r="N30" s="210"/>
    </row>
    <row r="31" spans="2:14" ht="15.75">
      <c r="B31" s="52" t="s">
        <v>263</v>
      </c>
      <c r="C31" s="214" t="s">
        <v>13</v>
      </c>
      <c r="D31" s="102">
        <v>15</v>
      </c>
      <c r="E31" s="10"/>
      <c r="F31" s="32">
        <v>413</v>
      </c>
      <c r="G31" s="112">
        <f t="shared" si="0"/>
        <v>0</v>
      </c>
      <c r="H31" s="25"/>
      <c r="I31" s="32"/>
      <c r="J31" s="264"/>
      <c r="K31" s="97">
        <v>2</v>
      </c>
      <c r="L31" s="252">
        <v>413</v>
      </c>
      <c r="M31" s="209">
        <v>826</v>
      </c>
      <c r="N31" s="210"/>
    </row>
    <row r="32" spans="2:14" ht="15.75">
      <c r="B32" s="24" t="s">
        <v>207</v>
      </c>
      <c r="C32" s="121" t="s">
        <v>13</v>
      </c>
      <c r="D32" s="102">
        <v>6</v>
      </c>
      <c r="E32" s="10"/>
      <c r="F32" s="32">
        <v>330.4</v>
      </c>
      <c r="G32" s="112">
        <f t="shared" si="0"/>
        <v>0</v>
      </c>
      <c r="H32" s="25">
        <v>205.67</v>
      </c>
      <c r="I32" s="32">
        <f t="shared" si="3"/>
        <v>37.020599999999995</v>
      </c>
      <c r="J32" s="264">
        <f t="shared" si="2"/>
        <v>242.69059999999999</v>
      </c>
      <c r="K32" s="97">
        <v>11</v>
      </c>
      <c r="L32" s="252">
        <v>330.4</v>
      </c>
      <c r="M32" s="209">
        <v>3634.3999999999996</v>
      </c>
      <c r="N32" s="210"/>
    </row>
    <row r="33" spans="2:14" ht="15.75">
      <c r="B33" s="24" t="s">
        <v>208</v>
      </c>
      <c r="C33" s="121" t="s">
        <v>13</v>
      </c>
      <c r="D33" s="102">
        <v>23</v>
      </c>
      <c r="E33" s="10"/>
      <c r="F33" s="245">
        <v>413</v>
      </c>
      <c r="G33" s="112">
        <f t="shared" si="0"/>
        <v>0</v>
      </c>
      <c r="H33" s="25"/>
      <c r="I33" s="32"/>
      <c r="J33" s="264"/>
      <c r="K33" s="97">
        <v>96</v>
      </c>
      <c r="L33" s="252">
        <v>366.98</v>
      </c>
      <c r="M33" s="209">
        <v>35230.080000000002</v>
      </c>
      <c r="N33" s="210"/>
    </row>
    <row r="34" spans="2:14" ht="15.75">
      <c r="B34" s="24" t="s">
        <v>264</v>
      </c>
      <c r="C34" s="121" t="s">
        <v>13</v>
      </c>
      <c r="D34" s="102">
        <v>15</v>
      </c>
      <c r="E34" s="10"/>
      <c r="F34" s="32">
        <v>81.62</v>
      </c>
      <c r="G34" s="112">
        <f t="shared" si="0"/>
        <v>0</v>
      </c>
      <c r="H34" s="25">
        <v>69.17</v>
      </c>
      <c r="I34" s="32">
        <f t="shared" si="3"/>
        <v>12.4506</v>
      </c>
      <c r="J34" s="264">
        <f t="shared" si="2"/>
        <v>81.620599999999996</v>
      </c>
      <c r="K34" s="97">
        <v>15</v>
      </c>
      <c r="L34" s="252">
        <v>81.62</v>
      </c>
      <c r="M34" s="209">
        <v>1224.3000000000002</v>
      </c>
      <c r="N34" s="210"/>
    </row>
    <row r="35" spans="2:14" ht="15.75">
      <c r="B35" s="24" t="s">
        <v>27</v>
      </c>
      <c r="C35" s="121" t="s">
        <v>13</v>
      </c>
      <c r="D35" s="102">
        <v>4</v>
      </c>
      <c r="E35" s="10"/>
      <c r="F35" s="212">
        <v>64.900000000000006</v>
      </c>
      <c r="G35" s="112">
        <f t="shared" si="0"/>
        <v>0</v>
      </c>
      <c r="H35" s="211">
        <v>55</v>
      </c>
      <c r="I35" s="212">
        <f t="shared" si="3"/>
        <v>9.9</v>
      </c>
      <c r="J35" s="263">
        <f t="shared" si="2"/>
        <v>64.900000000000006</v>
      </c>
      <c r="K35" s="97">
        <v>9</v>
      </c>
      <c r="L35" s="252">
        <v>64.900000000000006</v>
      </c>
      <c r="M35" s="209">
        <v>584.1</v>
      </c>
      <c r="N35" s="210"/>
    </row>
    <row r="36" spans="2:14" ht="15.75">
      <c r="B36" s="24" t="s">
        <v>28</v>
      </c>
      <c r="C36" s="121" t="s">
        <v>29</v>
      </c>
      <c r="D36" s="102">
        <v>26</v>
      </c>
      <c r="E36" s="10"/>
      <c r="F36" s="32">
        <v>67.900000000000006</v>
      </c>
      <c r="G36" s="112">
        <f t="shared" si="0"/>
        <v>0</v>
      </c>
      <c r="H36" s="25">
        <v>57.29</v>
      </c>
      <c r="I36" s="32">
        <f t="shared" si="3"/>
        <v>10.312199999999999</v>
      </c>
      <c r="J36" s="264">
        <f t="shared" si="2"/>
        <v>67.602199999999996</v>
      </c>
      <c r="K36" s="97">
        <v>26</v>
      </c>
      <c r="L36" s="252">
        <v>67.900000000000006</v>
      </c>
      <c r="M36" s="209">
        <v>1765.4</v>
      </c>
      <c r="N36" s="210"/>
    </row>
    <row r="37" spans="2:14" ht="15.75">
      <c r="B37" s="24" t="s">
        <v>265</v>
      </c>
      <c r="C37" s="121" t="s">
        <v>31</v>
      </c>
      <c r="D37" s="102">
        <v>8</v>
      </c>
      <c r="E37" s="10"/>
      <c r="F37" s="32">
        <v>31.81</v>
      </c>
      <c r="G37" s="112">
        <f t="shared" si="0"/>
        <v>0</v>
      </c>
      <c r="H37" s="25">
        <v>26.96</v>
      </c>
      <c r="I37" s="32">
        <f t="shared" si="3"/>
        <v>4.8528000000000002</v>
      </c>
      <c r="J37" s="264">
        <f t="shared" si="2"/>
        <v>31.812800000000003</v>
      </c>
      <c r="K37" s="97">
        <v>8</v>
      </c>
      <c r="L37" s="252">
        <v>31.81</v>
      </c>
      <c r="M37" s="209">
        <v>254.48</v>
      </c>
      <c r="N37" s="210"/>
    </row>
    <row r="38" spans="2:14" ht="15.75">
      <c r="B38" s="24" t="s">
        <v>266</v>
      </c>
      <c r="C38" s="121" t="s">
        <v>31</v>
      </c>
      <c r="D38" s="102">
        <v>112</v>
      </c>
      <c r="E38" s="10"/>
      <c r="F38" s="32">
        <v>26.55</v>
      </c>
      <c r="G38" s="112">
        <f t="shared" si="0"/>
        <v>0</v>
      </c>
      <c r="H38" s="25"/>
      <c r="I38" s="32"/>
      <c r="J38" s="264"/>
      <c r="K38" s="97">
        <v>112</v>
      </c>
      <c r="L38" s="252">
        <v>26.55</v>
      </c>
      <c r="M38" s="209">
        <v>2973.6</v>
      </c>
      <c r="N38" s="210"/>
    </row>
    <row r="39" spans="2:14" ht="15.75">
      <c r="B39" s="24" t="s">
        <v>267</v>
      </c>
      <c r="C39" s="121" t="s">
        <v>31</v>
      </c>
      <c r="D39" s="102">
        <v>20</v>
      </c>
      <c r="E39" s="10"/>
      <c r="F39" s="32">
        <v>26.96</v>
      </c>
      <c r="G39" s="112">
        <f t="shared" si="0"/>
        <v>0</v>
      </c>
      <c r="H39" s="25"/>
      <c r="I39" s="32"/>
      <c r="J39" s="264"/>
      <c r="K39" s="97">
        <v>20</v>
      </c>
      <c r="L39" s="252">
        <v>26.96</v>
      </c>
      <c r="M39" s="209">
        <v>539.20000000000005</v>
      </c>
      <c r="N39" s="210"/>
    </row>
    <row r="40" spans="2:14" ht="15.75">
      <c r="B40" s="24" t="s">
        <v>268</v>
      </c>
      <c r="C40" s="121" t="s">
        <v>31</v>
      </c>
      <c r="D40" s="102">
        <v>33</v>
      </c>
      <c r="E40" s="10"/>
      <c r="F40" s="32">
        <v>212.4</v>
      </c>
      <c r="G40" s="112">
        <f t="shared" si="0"/>
        <v>0</v>
      </c>
      <c r="H40" s="25">
        <v>122.14</v>
      </c>
      <c r="I40" s="32">
        <f t="shared" si="3"/>
        <v>21.985199999999999</v>
      </c>
      <c r="J40" s="264">
        <f t="shared" si="2"/>
        <v>144.12520000000001</v>
      </c>
      <c r="K40" s="97">
        <v>31</v>
      </c>
      <c r="L40" s="252">
        <v>212.4</v>
      </c>
      <c r="M40" s="209">
        <v>6584.4000000000005</v>
      </c>
      <c r="N40" s="210"/>
    </row>
    <row r="41" spans="2:14" ht="15.75">
      <c r="B41" s="24" t="s">
        <v>269</v>
      </c>
      <c r="C41" s="121" t="s">
        <v>31</v>
      </c>
      <c r="D41" s="102">
        <v>76</v>
      </c>
      <c r="E41" s="10"/>
      <c r="F41" s="32">
        <v>53.1</v>
      </c>
      <c r="G41" s="112">
        <f t="shared" si="0"/>
        <v>0</v>
      </c>
      <c r="H41" s="25"/>
      <c r="I41" s="32"/>
      <c r="J41" s="264"/>
      <c r="K41" s="97">
        <v>64</v>
      </c>
      <c r="L41" s="252">
        <v>53.1</v>
      </c>
      <c r="M41" s="209">
        <v>3398.4</v>
      </c>
      <c r="N41" s="210"/>
    </row>
    <row r="42" spans="2:14" ht="15.75">
      <c r="B42" s="24" t="s">
        <v>270</v>
      </c>
      <c r="C42" s="121" t="s">
        <v>31</v>
      </c>
      <c r="D42" s="102">
        <v>33</v>
      </c>
      <c r="E42" s="10"/>
      <c r="F42" s="32">
        <v>207.86</v>
      </c>
      <c r="G42" s="112">
        <f t="shared" si="0"/>
        <v>0</v>
      </c>
      <c r="H42" s="25">
        <v>176.15</v>
      </c>
      <c r="I42" s="32">
        <f t="shared" si="3"/>
        <v>31.707000000000001</v>
      </c>
      <c r="J42" s="264">
        <f t="shared" si="2"/>
        <v>207.857</v>
      </c>
      <c r="K42" s="97">
        <v>30</v>
      </c>
      <c r="L42" s="252">
        <v>207.86</v>
      </c>
      <c r="M42" s="209">
        <v>6235.8</v>
      </c>
      <c r="N42" s="210"/>
    </row>
    <row r="43" spans="2:14" ht="15.75" hidden="1">
      <c r="B43" s="24" t="s">
        <v>32</v>
      </c>
      <c r="C43" s="121" t="s">
        <v>31</v>
      </c>
      <c r="D43" s="102"/>
      <c r="E43" s="10"/>
      <c r="F43" s="32"/>
      <c r="G43" s="112">
        <f t="shared" si="0"/>
        <v>0</v>
      </c>
      <c r="H43" s="25">
        <v>53</v>
      </c>
      <c r="I43" s="32">
        <f t="shared" si="3"/>
        <v>9.5399999999999991</v>
      </c>
      <c r="J43" s="264">
        <f t="shared" si="2"/>
        <v>62.54</v>
      </c>
      <c r="K43" s="97"/>
      <c r="L43" s="252"/>
      <c r="M43" s="209">
        <v>0</v>
      </c>
      <c r="N43" s="210"/>
    </row>
    <row r="44" spans="2:14" ht="15.75" hidden="1">
      <c r="B44" s="24" t="s">
        <v>30</v>
      </c>
      <c r="C44" s="121" t="s">
        <v>31</v>
      </c>
      <c r="D44" s="102"/>
      <c r="E44" s="10"/>
      <c r="F44" s="32"/>
      <c r="G44" s="112">
        <f t="shared" si="0"/>
        <v>0</v>
      </c>
      <c r="H44" s="25">
        <v>17.14</v>
      </c>
      <c r="I44" s="32">
        <f t="shared" si="3"/>
        <v>3.0851999999999999</v>
      </c>
      <c r="J44" s="264">
        <f t="shared" si="2"/>
        <v>20.225200000000001</v>
      </c>
      <c r="K44" s="97"/>
      <c r="L44" s="252"/>
      <c r="M44" s="209">
        <v>0</v>
      </c>
      <c r="N44" s="210"/>
    </row>
    <row r="45" spans="2:14" ht="15.75">
      <c r="B45" s="24" t="s">
        <v>36</v>
      </c>
      <c r="C45" s="121" t="s">
        <v>9</v>
      </c>
      <c r="D45" s="102">
        <v>71</v>
      </c>
      <c r="E45" s="10"/>
      <c r="F45" s="212">
        <v>64.900000000000006</v>
      </c>
      <c r="G45" s="112">
        <f t="shared" si="0"/>
        <v>0</v>
      </c>
      <c r="H45" s="211">
        <v>55</v>
      </c>
      <c r="I45" s="212">
        <f t="shared" si="3"/>
        <v>9.9</v>
      </c>
      <c r="J45" s="263">
        <f t="shared" si="2"/>
        <v>64.900000000000006</v>
      </c>
      <c r="K45" s="97">
        <v>43</v>
      </c>
      <c r="L45" s="252">
        <v>64.900000000000006</v>
      </c>
      <c r="M45" s="209">
        <v>2790.7000000000003</v>
      </c>
      <c r="N45" s="210"/>
    </row>
    <row r="46" spans="2:14" ht="15.75">
      <c r="B46" s="24" t="s">
        <v>355</v>
      </c>
      <c r="C46" s="121" t="s">
        <v>13</v>
      </c>
      <c r="D46" s="102">
        <v>39</v>
      </c>
      <c r="E46" s="10"/>
      <c r="F46" s="32">
        <v>59</v>
      </c>
      <c r="G46" s="112">
        <f t="shared" si="0"/>
        <v>0</v>
      </c>
      <c r="H46" s="25">
        <v>20</v>
      </c>
      <c r="I46" s="32">
        <f t="shared" si="3"/>
        <v>3.5999999999999996</v>
      </c>
      <c r="J46" s="264">
        <f t="shared" si="2"/>
        <v>23.6</v>
      </c>
      <c r="K46" s="97">
        <v>38</v>
      </c>
      <c r="L46" s="252">
        <v>59</v>
      </c>
      <c r="M46" s="209">
        <v>2242</v>
      </c>
      <c r="N46" s="210"/>
    </row>
    <row r="47" spans="2:14" ht="15.75">
      <c r="B47" s="24" t="s">
        <v>356</v>
      </c>
      <c r="C47" s="121" t="s">
        <v>13</v>
      </c>
      <c r="D47" s="102">
        <v>54</v>
      </c>
      <c r="E47" s="10"/>
      <c r="F47" s="32">
        <v>37.46</v>
      </c>
      <c r="G47" s="112">
        <f t="shared" si="0"/>
        <v>0</v>
      </c>
      <c r="H47" s="25">
        <v>37.46</v>
      </c>
      <c r="I47" s="32"/>
      <c r="J47" s="264">
        <f t="shared" si="2"/>
        <v>37.46</v>
      </c>
      <c r="K47" s="97">
        <v>52</v>
      </c>
      <c r="L47" s="252">
        <v>37.46</v>
      </c>
      <c r="M47" s="209">
        <v>1947.92</v>
      </c>
      <c r="N47" s="210"/>
    </row>
    <row r="48" spans="2:14" ht="15.75" hidden="1">
      <c r="B48" s="64" t="s">
        <v>39</v>
      </c>
      <c r="C48" s="213" t="s">
        <v>13</v>
      </c>
      <c r="D48" s="102">
        <v>0</v>
      </c>
      <c r="E48" s="15"/>
      <c r="F48" s="209"/>
      <c r="G48" s="112">
        <f t="shared" si="0"/>
        <v>0</v>
      </c>
      <c r="H48" s="112">
        <v>415</v>
      </c>
      <c r="I48" s="209">
        <f>H48*18%</f>
        <v>74.7</v>
      </c>
      <c r="J48" s="262">
        <f t="shared" si="2"/>
        <v>489.7</v>
      </c>
      <c r="K48" s="97">
        <v>0</v>
      </c>
      <c r="L48" s="251"/>
      <c r="M48" s="209">
        <v>0</v>
      </c>
      <c r="N48" s="210"/>
    </row>
    <row r="49" spans="2:15" ht="15.75">
      <c r="B49" s="24" t="s">
        <v>271</v>
      </c>
      <c r="C49" s="121" t="s">
        <v>13</v>
      </c>
      <c r="D49" s="102">
        <v>1</v>
      </c>
      <c r="E49" s="10"/>
      <c r="F49" s="212">
        <v>5841</v>
      </c>
      <c r="G49" s="112">
        <f t="shared" si="0"/>
        <v>0</v>
      </c>
      <c r="H49" s="211">
        <v>4950</v>
      </c>
      <c r="I49" s="212">
        <f t="shared" ref="I49:I60" si="4">+H49*18%</f>
        <v>891</v>
      </c>
      <c r="J49" s="263">
        <f t="shared" si="2"/>
        <v>5841</v>
      </c>
      <c r="K49" s="97">
        <v>1</v>
      </c>
      <c r="L49" s="252">
        <v>5841</v>
      </c>
      <c r="M49" s="209">
        <v>5841</v>
      </c>
      <c r="N49" s="210"/>
    </row>
    <row r="50" spans="2:15" ht="15.75">
      <c r="B50" s="24" t="s">
        <v>272</v>
      </c>
      <c r="C50" s="121" t="s">
        <v>13</v>
      </c>
      <c r="D50" s="102">
        <v>11</v>
      </c>
      <c r="E50" s="10"/>
      <c r="F50" s="212">
        <v>68.44</v>
      </c>
      <c r="G50" s="112">
        <f t="shared" si="0"/>
        <v>0</v>
      </c>
      <c r="H50" s="211"/>
      <c r="I50" s="212"/>
      <c r="J50" s="263"/>
      <c r="K50" s="97">
        <v>10</v>
      </c>
      <c r="L50" s="252">
        <v>68.44</v>
      </c>
      <c r="M50" s="209">
        <v>684.4</v>
      </c>
      <c r="N50" s="209" t="e">
        <f>#REF!*M50</f>
        <v>#REF!</v>
      </c>
    </row>
    <row r="51" spans="2:15" ht="15.75">
      <c r="B51" s="24" t="s">
        <v>39</v>
      </c>
      <c r="C51" s="121" t="s">
        <v>13</v>
      </c>
      <c r="D51" s="102"/>
      <c r="E51" s="241">
        <v>20</v>
      </c>
      <c r="F51" s="248">
        <v>885</v>
      </c>
      <c r="G51" s="112">
        <f t="shared" si="0"/>
        <v>17700</v>
      </c>
      <c r="H51" s="211"/>
      <c r="I51" s="212"/>
      <c r="J51" s="263"/>
      <c r="K51" s="97">
        <v>24</v>
      </c>
      <c r="L51" s="252">
        <v>750</v>
      </c>
      <c r="M51" s="209">
        <v>18000</v>
      </c>
      <c r="N51" s="210"/>
    </row>
    <row r="52" spans="2:15" ht="15.75">
      <c r="B52" s="24" t="s">
        <v>345</v>
      </c>
      <c r="C52" s="121" t="s">
        <v>14</v>
      </c>
      <c r="D52" s="102">
        <v>3</v>
      </c>
      <c r="E52" s="10"/>
      <c r="F52" s="212">
        <v>501.5</v>
      </c>
      <c r="G52" s="112">
        <f t="shared" si="0"/>
        <v>0</v>
      </c>
      <c r="H52" s="211">
        <v>425</v>
      </c>
      <c r="I52" s="212">
        <f t="shared" si="4"/>
        <v>76.5</v>
      </c>
      <c r="J52" s="263">
        <f t="shared" si="2"/>
        <v>501.5</v>
      </c>
      <c r="K52" s="97">
        <v>3</v>
      </c>
      <c r="L52" s="252">
        <v>501.5</v>
      </c>
      <c r="M52" s="209">
        <v>1504.5</v>
      </c>
      <c r="N52" s="210"/>
    </row>
    <row r="53" spans="2:15" ht="15.75">
      <c r="B53" s="24" t="s">
        <v>346</v>
      </c>
      <c r="C53" s="121" t="s">
        <v>13</v>
      </c>
      <c r="D53" s="102">
        <v>8</v>
      </c>
      <c r="E53" s="10"/>
      <c r="F53" s="212">
        <v>129.80000000000001</v>
      </c>
      <c r="G53" s="112">
        <f t="shared" si="0"/>
        <v>0</v>
      </c>
      <c r="H53" s="211">
        <v>110</v>
      </c>
      <c r="I53" s="212">
        <f t="shared" si="4"/>
        <v>19.8</v>
      </c>
      <c r="J53" s="263">
        <f t="shared" si="2"/>
        <v>129.80000000000001</v>
      </c>
      <c r="K53" s="97">
        <v>6</v>
      </c>
      <c r="L53" s="252">
        <v>129.80000000000001</v>
      </c>
      <c r="M53" s="209">
        <v>778.80000000000007</v>
      </c>
      <c r="N53" s="210"/>
    </row>
    <row r="54" spans="2:15" ht="15.75">
      <c r="B54" s="24" t="s">
        <v>273</v>
      </c>
      <c r="C54" s="121" t="s">
        <v>9</v>
      </c>
      <c r="D54" s="102">
        <v>42</v>
      </c>
      <c r="E54" s="10"/>
      <c r="F54" s="212">
        <v>129.80000000000001</v>
      </c>
      <c r="G54" s="112">
        <f t="shared" si="0"/>
        <v>0</v>
      </c>
      <c r="H54" s="211">
        <v>110</v>
      </c>
      <c r="I54" s="212">
        <f t="shared" si="4"/>
        <v>19.8</v>
      </c>
      <c r="J54" s="263">
        <f t="shared" si="2"/>
        <v>129.80000000000001</v>
      </c>
      <c r="K54" s="97">
        <v>19</v>
      </c>
      <c r="L54" s="252">
        <v>129.80000000000001</v>
      </c>
      <c r="M54" s="209">
        <v>2466.2000000000003</v>
      </c>
      <c r="N54" s="210"/>
    </row>
    <row r="55" spans="2:15" ht="15.75">
      <c r="B55" s="24" t="s">
        <v>274</v>
      </c>
      <c r="C55" s="121" t="s">
        <v>29</v>
      </c>
      <c r="D55" s="102">
        <v>4</v>
      </c>
      <c r="E55" s="10"/>
      <c r="F55" s="212">
        <v>76.7</v>
      </c>
      <c r="G55" s="112">
        <f t="shared" si="0"/>
        <v>0</v>
      </c>
      <c r="H55" s="211">
        <v>65</v>
      </c>
      <c r="I55" s="212">
        <f t="shared" si="4"/>
        <v>11.7</v>
      </c>
      <c r="J55" s="263">
        <f t="shared" si="2"/>
        <v>76.7</v>
      </c>
      <c r="K55" s="97">
        <v>4</v>
      </c>
      <c r="L55" s="252">
        <v>76.7</v>
      </c>
      <c r="M55" s="209">
        <v>306.8</v>
      </c>
      <c r="N55" s="210"/>
    </row>
    <row r="56" spans="2:15" ht="15.75">
      <c r="B56" s="24" t="s">
        <v>275</v>
      </c>
      <c r="C56" s="121" t="s">
        <v>13</v>
      </c>
      <c r="D56" s="102">
        <v>2</v>
      </c>
      <c r="E56" s="10"/>
      <c r="F56" s="212">
        <v>1357</v>
      </c>
      <c r="G56" s="112">
        <f t="shared" si="0"/>
        <v>0</v>
      </c>
      <c r="H56" s="211">
        <v>1150</v>
      </c>
      <c r="I56" s="212">
        <f t="shared" si="4"/>
        <v>207</v>
      </c>
      <c r="J56" s="263">
        <f t="shared" si="2"/>
        <v>1357</v>
      </c>
      <c r="K56" s="97">
        <v>1</v>
      </c>
      <c r="L56" s="252">
        <v>1357</v>
      </c>
      <c r="M56" s="209">
        <v>1357</v>
      </c>
      <c r="N56" s="210"/>
    </row>
    <row r="57" spans="2:15" ht="15.75">
      <c r="B57" s="24" t="s">
        <v>276</v>
      </c>
      <c r="C57" s="121" t="s">
        <v>13</v>
      </c>
      <c r="D57" s="102">
        <v>2</v>
      </c>
      <c r="E57" s="10"/>
      <c r="F57" s="212">
        <v>4071</v>
      </c>
      <c r="G57" s="112">
        <f t="shared" si="0"/>
        <v>0</v>
      </c>
      <c r="H57" s="211">
        <v>3450</v>
      </c>
      <c r="I57" s="212">
        <f t="shared" si="4"/>
        <v>621</v>
      </c>
      <c r="J57" s="263">
        <f t="shared" si="2"/>
        <v>4071</v>
      </c>
      <c r="K57" s="97">
        <v>1</v>
      </c>
      <c r="L57" s="252">
        <v>4071</v>
      </c>
      <c r="M57" s="209">
        <v>4071</v>
      </c>
      <c r="N57" s="210"/>
    </row>
    <row r="58" spans="2:15" ht="15.75">
      <c r="B58" s="24" t="s">
        <v>277</v>
      </c>
      <c r="C58" s="121" t="s">
        <v>13</v>
      </c>
      <c r="D58" s="102">
        <v>40</v>
      </c>
      <c r="E58" s="10"/>
      <c r="F58" s="32">
        <v>295</v>
      </c>
      <c r="G58" s="112">
        <f t="shared" si="0"/>
        <v>0</v>
      </c>
      <c r="H58" s="25">
        <v>154.26</v>
      </c>
      <c r="I58" s="32">
        <f t="shared" si="4"/>
        <v>27.766799999999996</v>
      </c>
      <c r="J58" s="264">
        <f t="shared" si="2"/>
        <v>182.02679999999998</v>
      </c>
      <c r="K58" s="97">
        <v>36</v>
      </c>
      <c r="L58" s="252">
        <v>295</v>
      </c>
      <c r="M58" s="209">
        <v>10620</v>
      </c>
      <c r="N58" s="210"/>
    </row>
    <row r="59" spans="2:15" ht="15.75">
      <c r="B59" s="24" t="s">
        <v>278</v>
      </c>
      <c r="C59" s="121" t="s">
        <v>13</v>
      </c>
      <c r="D59" s="102">
        <v>24</v>
      </c>
      <c r="E59" s="10"/>
      <c r="F59" s="212">
        <v>147.5</v>
      </c>
      <c r="G59" s="112">
        <f t="shared" si="0"/>
        <v>0</v>
      </c>
      <c r="H59" s="211">
        <v>125</v>
      </c>
      <c r="I59" s="212">
        <f t="shared" si="4"/>
        <v>22.5</v>
      </c>
      <c r="J59" s="263">
        <f t="shared" si="2"/>
        <v>147.5</v>
      </c>
      <c r="K59" s="97">
        <v>22</v>
      </c>
      <c r="L59" s="252">
        <v>147.5</v>
      </c>
      <c r="M59" s="209">
        <v>3245</v>
      </c>
      <c r="N59" s="210"/>
    </row>
    <row r="60" spans="2:15" ht="15.75">
      <c r="B60" s="24" t="s">
        <v>279</v>
      </c>
      <c r="C60" s="121" t="s">
        <v>13</v>
      </c>
      <c r="D60" s="102">
        <v>56</v>
      </c>
      <c r="E60" s="10"/>
      <c r="F60" s="32">
        <v>55</v>
      </c>
      <c r="G60" s="112">
        <f t="shared" si="0"/>
        <v>0</v>
      </c>
      <c r="H60" s="25">
        <v>26.44</v>
      </c>
      <c r="I60" s="32">
        <f t="shared" si="4"/>
        <v>4.7591999999999999</v>
      </c>
      <c r="J60" s="264">
        <f t="shared" si="2"/>
        <v>31.199200000000001</v>
      </c>
      <c r="K60" s="97">
        <v>57</v>
      </c>
      <c r="L60" s="252">
        <v>55</v>
      </c>
      <c r="M60" s="209">
        <v>3135</v>
      </c>
      <c r="N60" s="210"/>
      <c r="O60" s="95"/>
    </row>
    <row r="61" spans="2:15" ht="15.75">
      <c r="B61" s="64" t="s">
        <v>280</v>
      </c>
      <c r="C61" s="213" t="s">
        <v>29</v>
      </c>
      <c r="D61" s="102">
        <v>6</v>
      </c>
      <c r="E61" s="15"/>
      <c r="F61" s="209">
        <v>259.60000000000002</v>
      </c>
      <c r="G61" s="112">
        <f t="shared" si="0"/>
        <v>0</v>
      </c>
      <c r="H61" s="112">
        <v>220</v>
      </c>
      <c r="I61" s="209">
        <f>H61*18%</f>
        <v>39.6</v>
      </c>
      <c r="J61" s="262">
        <f t="shared" si="2"/>
        <v>259.60000000000002</v>
      </c>
      <c r="K61" s="97">
        <v>6</v>
      </c>
      <c r="L61" s="251">
        <v>259.60000000000002</v>
      </c>
      <c r="M61" s="209">
        <v>1557.6000000000001</v>
      </c>
      <c r="N61" s="210"/>
    </row>
    <row r="62" spans="2:15" ht="15.75">
      <c r="B62" s="64" t="s">
        <v>281</v>
      </c>
      <c r="C62" s="213" t="s">
        <v>29</v>
      </c>
      <c r="D62" s="102">
        <v>6</v>
      </c>
      <c r="E62" s="15"/>
      <c r="F62" s="209">
        <v>259.60000000000002</v>
      </c>
      <c r="G62" s="112">
        <f t="shared" si="0"/>
        <v>0</v>
      </c>
      <c r="H62" s="112">
        <v>220</v>
      </c>
      <c r="I62" s="209">
        <f>H62*18%</f>
        <v>39.6</v>
      </c>
      <c r="J62" s="262">
        <f t="shared" si="2"/>
        <v>259.60000000000002</v>
      </c>
      <c r="K62" s="97">
        <v>6</v>
      </c>
      <c r="L62" s="251">
        <v>259.60000000000002</v>
      </c>
      <c r="M62" s="209">
        <v>1557.6000000000001</v>
      </c>
      <c r="N62" s="210"/>
    </row>
    <row r="63" spans="2:15" ht="15.75">
      <c r="B63" s="24" t="s">
        <v>52</v>
      </c>
      <c r="C63" s="121" t="s">
        <v>13</v>
      </c>
      <c r="D63" s="102">
        <v>1800</v>
      </c>
      <c r="E63" s="10"/>
      <c r="F63" s="245">
        <v>2.95</v>
      </c>
      <c r="G63" s="112">
        <f t="shared" si="0"/>
        <v>0</v>
      </c>
      <c r="H63" s="25">
        <v>367.28</v>
      </c>
      <c r="I63" s="32">
        <f t="shared" ref="I63:I80" si="5">+H63*18%</f>
        <v>66.110399999999998</v>
      </c>
      <c r="J63" s="264">
        <f t="shared" si="2"/>
        <v>433.3904</v>
      </c>
      <c r="K63" s="97">
        <v>2750</v>
      </c>
      <c r="L63" s="252">
        <v>3.7700999999999998</v>
      </c>
      <c r="M63" s="209">
        <v>10367.775</v>
      </c>
      <c r="N63" s="210"/>
    </row>
    <row r="64" spans="2:15" ht="15.75">
      <c r="B64" s="24" t="s">
        <v>53</v>
      </c>
      <c r="C64" s="121" t="s">
        <v>13</v>
      </c>
      <c r="D64" s="102">
        <v>1100</v>
      </c>
      <c r="E64" s="10"/>
      <c r="F64" s="32">
        <v>5.9</v>
      </c>
      <c r="G64" s="112">
        <f t="shared" si="0"/>
        <v>0</v>
      </c>
      <c r="H64" s="25">
        <v>500</v>
      </c>
      <c r="I64" s="32">
        <f t="shared" si="5"/>
        <v>90</v>
      </c>
      <c r="J64" s="264">
        <f t="shared" si="2"/>
        <v>590</v>
      </c>
      <c r="K64" s="97">
        <v>1000</v>
      </c>
      <c r="L64" s="252">
        <v>5.9</v>
      </c>
      <c r="M64" s="209">
        <v>5900</v>
      </c>
      <c r="N64" s="210"/>
      <c r="O64" s="95"/>
    </row>
    <row r="65" spans="2:14" ht="15.75">
      <c r="B65" s="24" t="s">
        <v>55</v>
      </c>
      <c r="C65" s="121" t="s">
        <v>29</v>
      </c>
      <c r="D65" s="102">
        <v>80</v>
      </c>
      <c r="E65" s="10"/>
      <c r="F65" s="212">
        <v>501.5</v>
      </c>
      <c r="G65" s="112">
        <f t="shared" ref="G65:G120" si="6">F65*E65</f>
        <v>0</v>
      </c>
      <c r="H65" s="211">
        <v>425</v>
      </c>
      <c r="I65" s="212">
        <f t="shared" si="5"/>
        <v>76.5</v>
      </c>
      <c r="J65" s="263">
        <f t="shared" ref="J65:J95" si="7">I65+H65</f>
        <v>501.5</v>
      </c>
      <c r="K65" s="97">
        <v>70</v>
      </c>
      <c r="L65" s="252">
        <v>501.5</v>
      </c>
      <c r="M65" s="209">
        <v>35105</v>
      </c>
      <c r="N65" s="210"/>
    </row>
    <row r="66" spans="2:14" ht="15.75">
      <c r="B66" s="24" t="s">
        <v>156</v>
      </c>
      <c r="C66" s="121" t="s">
        <v>29</v>
      </c>
      <c r="D66" s="102">
        <v>1</v>
      </c>
      <c r="E66" s="10"/>
      <c r="F66" s="212">
        <v>826</v>
      </c>
      <c r="G66" s="112">
        <f t="shared" si="6"/>
        <v>0</v>
      </c>
      <c r="H66" s="211">
        <v>700</v>
      </c>
      <c r="I66" s="212">
        <f t="shared" si="5"/>
        <v>126</v>
      </c>
      <c r="J66" s="263">
        <f t="shared" si="7"/>
        <v>826</v>
      </c>
      <c r="K66" s="97">
        <v>1</v>
      </c>
      <c r="L66" s="252">
        <v>826</v>
      </c>
      <c r="M66" s="209">
        <v>826</v>
      </c>
      <c r="N66" s="210"/>
    </row>
    <row r="67" spans="2:14" ht="15.75" hidden="1">
      <c r="B67" s="24" t="s">
        <v>56</v>
      </c>
      <c r="C67" s="121" t="s">
        <v>29</v>
      </c>
      <c r="D67" s="102">
        <v>0</v>
      </c>
      <c r="E67" s="10"/>
      <c r="F67" s="212"/>
      <c r="G67" s="112">
        <f t="shared" si="6"/>
        <v>0</v>
      </c>
      <c r="H67" s="211">
        <v>16.41</v>
      </c>
      <c r="I67" s="212">
        <f t="shared" si="5"/>
        <v>2.9537999999999998</v>
      </c>
      <c r="J67" s="263">
        <f t="shared" si="7"/>
        <v>19.363800000000001</v>
      </c>
      <c r="K67" s="97">
        <v>0</v>
      </c>
      <c r="L67" s="252"/>
      <c r="M67" s="209">
        <v>0</v>
      </c>
      <c r="N67" s="210"/>
    </row>
    <row r="68" spans="2:14" ht="15.75">
      <c r="B68" s="56" t="s">
        <v>282</v>
      </c>
      <c r="C68" s="121" t="s">
        <v>29</v>
      </c>
      <c r="D68" s="102">
        <v>16</v>
      </c>
      <c r="E68" s="27"/>
      <c r="F68" s="32">
        <v>271.39999999999998</v>
      </c>
      <c r="G68" s="112">
        <f t="shared" si="6"/>
        <v>0</v>
      </c>
      <c r="H68" s="25">
        <v>230</v>
      </c>
      <c r="I68" s="32">
        <f t="shared" si="5"/>
        <v>41.4</v>
      </c>
      <c r="J68" s="264">
        <f t="shared" si="7"/>
        <v>271.39999999999998</v>
      </c>
      <c r="K68" s="97">
        <v>16</v>
      </c>
      <c r="L68" s="252">
        <v>271.39999999999998</v>
      </c>
      <c r="M68" s="209">
        <v>4342.3999999999996</v>
      </c>
      <c r="N68" s="210"/>
    </row>
    <row r="69" spans="2:14" ht="15.75">
      <c r="B69" s="24" t="s">
        <v>283</v>
      </c>
      <c r="C69" s="121" t="s">
        <v>31</v>
      </c>
      <c r="D69" s="102">
        <v>2</v>
      </c>
      <c r="E69" s="10"/>
      <c r="F69" s="32">
        <v>141.6</v>
      </c>
      <c r="G69" s="112">
        <f t="shared" si="6"/>
        <v>0</v>
      </c>
      <c r="H69" s="25">
        <v>120</v>
      </c>
      <c r="I69" s="32">
        <f t="shared" si="5"/>
        <v>21.599999999999998</v>
      </c>
      <c r="J69" s="264">
        <f t="shared" si="7"/>
        <v>141.6</v>
      </c>
      <c r="K69" s="97">
        <v>2</v>
      </c>
      <c r="L69" s="252">
        <v>141.6</v>
      </c>
      <c r="M69" s="209">
        <v>283.2</v>
      </c>
      <c r="N69" s="210"/>
    </row>
    <row r="70" spans="2:14" ht="15.75">
      <c r="B70" s="24" t="s">
        <v>284</v>
      </c>
      <c r="C70" s="121" t="s">
        <v>9</v>
      </c>
      <c r="D70" s="102">
        <v>24</v>
      </c>
      <c r="E70" s="10"/>
      <c r="F70" s="212">
        <v>826</v>
      </c>
      <c r="G70" s="112">
        <f t="shared" si="6"/>
        <v>0</v>
      </c>
      <c r="H70" s="211">
        <v>700</v>
      </c>
      <c r="I70" s="212">
        <f t="shared" si="5"/>
        <v>126</v>
      </c>
      <c r="J70" s="263">
        <f t="shared" si="7"/>
        <v>826</v>
      </c>
      <c r="K70" s="97">
        <v>23</v>
      </c>
      <c r="L70" s="252">
        <v>826</v>
      </c>
      <c r="M70" s="209">
        <v>18998</v>
      </c>
      <c r="N70" s="210"/>
    </row>
    <row r="71" spans="2:14" ht="15.75">
      <c r="B71" s="24" t="s">
        <v>285</v>
      </c>
      <c r="C71" s="121" t="s">
        <v>31</v>
      </c>
      <c r="D71" s="102">
        <v>50</v>
      </c>
      <c r="E71" s="10"/>
      <c r="F71" s="32">
        <v>62.54</v>
      </c>
      <c r="G71" s="112">
        <f t="shared" si="6"/>
        <v>0</v>
      </c>
      <c r="H71" s="25">
        <v>54.36</v>
      </c>
      <c r="I71" s="32">
        <f t="shared" si="5"/>
        <v>9.7847999999999988</v>
      </c>
      <c r="J71" s="264">
        <f t="shared" si="7"/>
        <v>64.144800000000004</v>
      </c>
      <c r="K71" s="97">
        <v>43</v>
      </c>
      <c r="L71" s="252">
        <v>62.54</v>
      </c>
      <c r="M71" s="209">
        <v>2689.22</v>
      </c>
      <c r="N71" s="210"/>
    </row>
    <row r="72" spans="2:14" ht="15.75">
      <c r="B72" s="24" t="s">
        <v>61</v>
      </c>
      <c r="C72" s="121" t="s">
        <v>13</v>
      </c>
      <c r="D72" s="102">
        <v>22</v>
      </c>
      <c r="E72" s="10"/>
      <c r="F72" s="245">
        <v>531</v>
      </c>
      <c r="G72" s="112">
        <f t="shared" si="6"/>
        <v>0</v>
      </c>
      <c r="H72" s="25">
        <v>330.55</v>
      </c>
      <c r="I72" s="32">
        <f t="shared" si="5"/>
        <v>59.499000000000002</v>
      </c>
      <c r="J72" s="264">
        <f t="shared" si="7"/>
        <v>390.04900000000004</v>
      </c>
      <c r="K72" s="97">
        <v>29</v>
      </c>
      <c r="L72" s="252">
        <v>289</v>
      </c>
      <c r="M72" s="209">
        <v>8381</v>
      </c>
      <c r="N72" s="210"/>
    </row>
    <row r="73" spans="2:14" ht="15.75">
      <c r="B73" s="24" t="s">
        <v>64</v>
      </c>
      <c r="C73" s="121" t="s">
        <v>31</v>
      </c>
      <c r="D73" s="102">
        <v>10</v>
      </c>
      <c r="E73" s="10"/>
      <c r="F73" s="32">
        <v>123.9</v>
      </c>
      <c r="G73" s="112">
        <f t="shared" si="6"/>
        <v>0</v>
      </c>
      <c r="H73" s="25">
        <v>105</v>
      </c>
      <c r="I73" s="32">
        <f t="shared" si="5"/>
        <v>18.899999999999999</v>
      </c>
      <c r="J73" s="264">
        <f t="shared" si="7"/>
        <v>123.9</v>
      </c>
      <c r="K73" s="97">
        <v>10</v>
      </c>
      <c r="L73" s="252">
        <v>123.9</v>
      </c>
      <c r="M73" s="209">
        <v>1239</v>
      </c>
      <c r="N73" s="210"/>
    </row>
    <row r="74" spans="2:14" ht="15.75" hidden="1">
      <c r="B74" s="24" t="s">
        <v>63</v>
      </c>
      <c r="C74" s="121" t="s">
        <v>31</v>
      </c>
      <c r="D74" s="102">
        <v>0</v>
      </c>
      <c r="E74" s="10"/>
      <c r="F74" s="32"/>
      <c r="G74" s="112">
        <f t="shared" si="6"/>
        <v>0</v>
      </c>
      <c r="H74" s="25">
        <v>65</v>
      </c>
      <c r="I74" s="32">
        <f t="shared" si="5"/>
        <v>11.7</v>
      </c>
      <c r="J74" s="264">
        <f t="shared" si="7"/>
        <v>76.7</v>
      </c>
      <c r="K74" s="97">
        <v>0</v>
      </c>
      <c r="L74" s="252"/>
      <c r="M74" s="209">
        <v>0</v>
      </c>
      <c r="N74" s="210"/>
    </row>
    <row r="75" spans="2:14" ht="15.75">
      <c r="B75" s="24" t="s">
        <v>195</v>
      </c>
      <c r="C75" s="121" t="s">
        <v>31</v>
      </c>
      <c r="D75" s="102">
        <v>2</v>
      </c>
      <c r="E75" s="10"/>
      <c r="F75" s="32">
        <v>76.7</v>
      </c>
      <c r="G75" s="112">
        <f t="shared" si="6"/>
        <v>0</v>
      </c>
      <c r="H75" s="25"/>
      <c r="I75" s="32"/>
      <c r="J75" s="264"/>
      <c r="K75" s="97">
        <v>13</v>
      </c>
      <c r="L75" s="252">
        <v>76.7</v>
      </c>
      <c r="M75" s="209">
        <v>997.1</v>
      </c>
      <c r="N75" s="210"/>
    </row>
    <row r="76" spans="2:14" ht="15.75">
      <c r="B76" s="24" t="s">
        <v>62</v>
      </c>
      <c r="C76" s="121" t="s">
        <v>31</v>
      </c>
      <c r="D76" s="102">
        <v>62</v>
      </c>
      <c r="E76" s="10"/>
      <c r="F76" s="245">
        <v>177</v>
      </c>
      <c r="G76" s="112">
        <f t="shared" si="6"/>
        <v>0</v>
      </c>
      <c r="H76" s="25">
        <v>60</v>
      </c>
      <c r="I76" s="32">
        <f t="shared" si="5"/>
        <v>10.799999999999999</v>
      </c>
      <c r="J76" s="264">
        <f t="shared" si="7"/>
        <v>70.8</v>
      </c>
      <c r="K76" s="97">
        <v>90</v>
      </c>
      <c r="L76" s="252">
        <v>65.784999999999997</v>
      </c>
      <c r="M76" s="209">
        <v>5920.65</v>
      </c>
      <c r="N76" s="210"/>
    </row>
    <row r="77" spans="2:14" ht="15.75">
      <c r="B77" s="24" t="s">
        <v>286</v>
      </c>
      <c r="C77" s="121" t="s">
        <v>13</v>
      </c>
      <c r="D77" s="102">
        <v>10</v>
      </c>
      <c r="E77" s="10"/>
      <c r="F77" s="212">
        <v>79.06</v>
      </c>
      <c r="G77" s="112">
        <f t="shared" si="6"/>
        <v>0</v>
      </c>
      <c r="H77" s="211">
        <v>67</v>
      </c>
      <c r="I77" s="212">
        <f t="shared" si="5"/>
        <v>12.059999999999999</v>
      </c>
      <c r="J77" s="263">
        <f t="shared" si="7"/>
        <v>79.06</v>
      </c>
      <c r="K77" s="97">
        <v>15</v>
      </c>
      <c r="L77" s="252">
        <v>79.06</v>
      </c>
      <c r="M77" s="209">
        <v>1185.9000000000001</v>
      </c>
      <c r="N77" s="210"/>
    </row>
    <row r="78" spans="2:14" ht="15.75">
      <c r="B78" s="24" t="s">
        <v>287</v>
      </c>
      <c r="C78" s="121" t="s">
        <v>13</v>
      </c>
      <c r="D78" s="102">
        <v>33</v>
      </c>
      <c r="E78" s="10"/>
      <c r="F78" s="32">
        <v>40.119999999999997</v>
      </c>
      <c r="G78" s="112">
        <f t="shared" si="6"/>
        <v>0</v>
      </c>
      <c r="H78" s="25">
        <v>34</v>
      </c>
      <c r="I78" s="32">
        <f t="shared" si="5"/>
        <v>6.12</v>
      </c>
      <c r="J78" s="264">
        <f t="shared" si="7"/>
        <v>40.119999999999997</v>
      </c>
      <c r="K78" s="97">
        <v>25</v>
      </c>
      <c r="L78" s="252">
        <v>40.119999999999997</v>
      </c>
      <c r="M78" s="209">
        <v>1002.9999999999999</v>
      </c>
      <c r="N78" s="210"/>
    </row>
    <row r="79" spans="2:14" ht="15.75">
      <c r="B79" s="24" t="s">
        <v>288</v>
      </c>
      <c r="C79" s="121" t="s">
        <v>9</v>
      </c>
      <c r="D79" s="102">
        <v>21</v>
      </c>
      <c r="E79" s="10"/>
      <c r="F79" s="212">
        <v>129.80000000000001</v>
      </c>
      <c r="G79" s="112">
        <f t="shared" si="6"/>
        <v>0</v>
      </c>
      <c r="H79" s="211">
        <v>110</v>
      </c>
      <c r="I79" s="212">
        <f t="shared" si="5"/>
        <v>19.8</v>
      </c>
      <c r="J79" s="263">
        <f t="shared" si="7"/>
        <v>129.80000000000001</v>
      </c>
      <c r="K79" s="97">
        <v>4</v>
      </c>
      <c r="L79" s="252">
        <v>129.80000000000001</v>
      </c>
      <c r="M79" s="209">
        <v>519.20000000000005</v>
      </c>
      <c r="N79" s="210"/>
    </row>
    <row r="80" spans="2:14" ht="15.75">
      <c r="B80" s="24" t="s">
        <v>289</v>
      </c>
      <c r="C80" s="121" t="s">
        <v>13</v>
      </c>
      <c r="D80" s="102">
        <v>14</v>
      </c>
      <c r="E80" s="10"/>
      <c r="F80" s="32">
        <v>1109.2</v>
      </c>
      <c r="G80" s="112">
        <f t="shared" si="6"/>
        <v>0</v>
      </c>
      <c r="H80" s="25">
        <v>940</v>
      </c>
      <c r="I80" s="32">
        <f t="shared" si="5"/>
        <v>169.2</v>
      </c>
      <c r="J80" s="264">
        <f t="shared" si="7"/>
        <v>1109.2</v>
      </c>
      <c r="K80" s="97">
        <v>14</v>
      </c>
      <c r="L80" s="252">
        <v>1109.2</v>
      </c>
      <c r="M80" s="209">
        <v>15528.800000000001</v>
      </c>
      <c r="N80" s="210"/>
    </row>
    <row r="81" spans="2:14" ht="15.75">
      <c r="B81" s="24" t="s">
        <v>70</v>
      </c>
      <c r="C81" s="121" t="s">
        <v>31</v>
      </c>
      <c r="D81" s="102">
        <v>12</v>
      </c>
      <c r="E81" s="10"/>
      <c r="F81" s="32">
        <v>67.260000000000005</v>
      </c>
      <c r="G81" s="112">
        <f t="shared" si="6"/>
        <v>0</v>
      </c>
      <c r="H81" s="25">
        <v>211.65</v>
      </c>
      <c r="I81" s="32"/>
      <c r="J81" s="264">
        <f t="shared" si="7"/>
        <v>211.65</v>
      </c>
      <c r="K81" s="97">
        <v>12</v>
      </c>
      <c r="L81" s="252">
        <v>67.260000000000005</v>
      </c>
      <c r="M81" s="209">
        <v>807.12000000000012</v>
      </c>
      <c r="N81" s="210"/>
    </row>
    <row r="82" spans="2:14" ht="15.75">
      <c r="B82" s="24" t="s">
        <v>71</v>
      </c>
      <c r="C82" s="121" t="s">
        <v>13</v>
      </c>
      <c r="D82" s="102">
        <v>42</v>
      </c>
      <c r="E82" s="10"/>
      <c r="F82" s="212">
        <v>59</v>
      </c>
      <c r="G82" s="112">
        <f t="shared" si="6"/>
        <v>0</v>
      </c>
      <c r="H82" s="211">
        <v>50</v>
      </c>
      <c r="I82" s="212">
        <f t="shared" ref="I82:I118" si="8">+H82*18%</f>
        <v>9</v>
      </c>
      <c r="J82" s="263">
        <f t="shared" si="7"/>
        <v>59</v>
      </c>
      <c r="K82" s="97">
        <v>30</v>
      </c>
      <c r="L82" s="252">
        <v>59</v>
      </c>
      <c r="M82" s="209">
        <v>1770</v>
      </c>
      <c r="N82" s="210"/>
    </row>
    <row r="83" spans="2:14" ht="15.75">
      <c r="B83" s="24" t="s">
        <v>290</v>
      </c>
      <c r="C83" s="121" t="s">
        <v>13</v>
      </c>
      <c r="D83" s="102">
        <v>936</v>
      </c>
      <c r="E83" s="10"/>
      <c r="F83" s="32">
        <v>7.38</v>
      </c>
      <c r="G83" s="112">
        <f t="shared" si="6"/>
        <v>0</v>
      </c>
      <c r="H83" s="25">
        <v>95.49</v>
      </c>
      <c r="I83" s="32">
        <f t="shared" si="8"/>
        <v>17.188199999999998</v>
      </c>
      <c r="J83" s="264">
        <f t="shared" si="7"/>
        <v>112.67819999999999</v>
      </c>
      <c r="K83" s="97">
        <v>828</v>
      </c>
      <c r="L83" s="252">
        <v>7.38</v>
      </c>
      <c r="M83" s="209">
        <v>6110.64</v>
      </c>
      <c r="N83" s="210"/>
    </row>
    <row r="84" spans="2:14" ht="15.75">
      <c r="B84" s="24" t="s">
        <v>291</v>
      </c>
      <c r="C84" s="121" t="s">
        <v>13</v>
      </c>
      <c r="D84" s="102">
        <v>56</v>
      </c>
      <c r="E84" s="10"/>
      <c r="F84" s="32">
        <v>7.55</v>
      </c>
      <c r="G84" s="112">
        <f t="shared" si="6"/>
        <v>0</v>
      </c>
      <c r="H84" s="25">
        <v>6.4</v>
      </c>
      <c r="I84" s="32">
        <f t="shared" si="8"/>
        <v>1.1519999999999999</v>
      </c>
      <c r="J84" s="264">
        <f t="shared" si="7"/>
        <v>7.5520000000000005</v>
      </c>
      <c r="K84" s="97">
        <v>56</v>
      </c>
      <c r="L84" s="252">
        <v>7.55</v>
      </c>
      <c r="M84" s="209">
        <v>422.8</v>
      </c>
      <c r="N84" s="210"/>
    </row>
    <row r="85" spans="2:14" ht="15.75">
      <c r="B85" s="24" t="s">
        <v>292</v>
      </c>
      <c r="C85" s="121" t="s">
        <v>13</v>
      </c>
      <c r="D85" s="102">
        <v>192</v>
      </c>
      <c r="E85" s="10"/>
      <c r="F85" s="32">
        <v>10.372199999999999</v>
      </c>
      <c r="G85" s="112">
        <f t="shared" si="6"/>
        <v>0</v>
      </c>
      <c r="H85" s="25">
        <v>105.5</v>
      </c>
      <c r="I85" s="32">
        <f t="shared" si="8"/>
        <v>18.989999999999998</v>
      </c>
      <c r="J85" s="264">
        <f t="shared" si="7"/>
        <v>124.49</v>
      </c>
      <c r="K85" s="97">
        <v>192</v>
      </c>
      <c r="L85" s="252">
        <v>10.372199999999999</v>
      </c>
      <c r="M85" s="209">
        <v>1991.4623999999999</v>
      </c>
      <c r="N85" s="210"/>
    </row>
    <row r="86" spans="2:14" ht="15.75">
      <c r="B86" s="24" t="s">
        <v>293</v>
      </c>
      <c r="C86" s="121" t="s">
        <v>9</v>
      </c>
      <c r="D86" s="102">
        <v>72</v>
      </c>
      <c r="E86" s="10"/>
      <c r="F86" s="212">
        <v>153.4</v>
      </c>
      <c r="G86" s="112">
        <f t="shared" si="6"/>
        <v>0</v>
      </c>
      <c r="H86" s="211">
        <v>130</v>
      </c>
      <c r="I86" s="212">
        <f t="shared" si="8"/>
        <v>23.4</v>
      </c>
      <c r="J86" s="263">
        <f t="shared" si="7"/>
        <v>153.4</v>
      </c>
      <c r="K86" s="97">
        <v>46</v>
      </c>
      <c r="L86" s="252">
        <v>153.4</v>
      </c>
      <c r="M86" s="209">
        <v>7056.4000000000005</v>
      </c>
      <c r="N86" s="210"/>
    </row>
    <row r="87" spans="2:14" ht="15.75">
      <c r="B87" s="24" t="s">
        <v>294</v>
      </c>
      <c r="C87" s="121" t="s">
        <v>13</v>
      </c>
      <c r="D87" s="102">
        <v>103</v>
      </c>
      <c r="E87" s="10"/>
      <c r="F87" s="32">
        <v>92.04</v>
      </c>
      <c r="G87" s="112">
        <f t="shared" si="6"/>
        <v>0</v>
      </c>
      <c r="H87" s="25">
        <v>57.88</v>
      </c>
      <c r="I87" s="32">
        <f t="shared" si="8"/>
        <v>10.4184</v>
      </c>
      <c r="J87" s="264">
        <f t="shared" si="7"/>
        <v>68.298400000000001</v>
      </c>
      <c r="K87" s="97">
        <v>88</v>
      </c>
      <c r="L87" s="261">
        <v>92.04</v>
      </c>
      <c r="M87" s="209">
        <v>8099.52</v>
      </c>
      <c r="N87" s="210"/>
    </row>
    <row r="88" spans="2:14" ht="15.75">
      <c r="B88" s="24" t="s">
        <v>295</v>
      </c>
      <c r="C88" s="121" t="s">
        <v>13</v>
      </c>
      <c r="D88" s="102">
        <v>102</v>
      </c>
      <c r="E88" s="10"/>
      <c r="F88" s="32">
        <v>44.84</v>
      </c>
      <c r="G88" s="112">
        <f t="shared" si="6"/>
        <v>0</v>
      </c>
      <c r="H88" s="25">
        <v>19.5</v>
      </c>
      <c r="I88" s="32">
        <f t="shared" si="8"/>
        <v>3.51</v>
      </c>
      <c r="J88" s="264">
        <f t="shared" si="7"/>
        <v>23.009999999999998</v>
      </c>
      <c r="K88" s="97">
        <v>101</v>
      </c>
      <c r="L88" s="255">
        <v>44.84</v>
      </c>
      <c r="M88" s="260">
        <v>4528.84</v>
      </c>
      <c r="N88" s="210"/>
    </row>
    <row r="89" spans="2:14" ht="15.75">
      <c r="B89" s="24" t="s">
        <v>296</v>
      </c>
      <c r="C89" s="121" t="s">
        <v>13</v>
      </c>
      <c r="D89" s="102">
        <v>11</v>
      </c>
      <c r="E89" s="10"/>
      <c r="F89" s="32">
        <v>265.49</v>
      </c>
      <c r="G89" s="112">
        <f t="shared" si="6"/>
        <v>0</v>
      </c>
      <c r="H89" s="25">
        <v>224.99</v>
      </c>
      <c r="I89" s="32">
        <f t="shared" si="8"/>
        <v>40.498199999999997</v>
      </c>
      <c r="J89" s="264">
        <f t="shared" si="7"/>
        <v>265.48820000000001</v>
      </c>
      <c r="K89" s="97">
        <v>9</v>
      </c>
      <c r="L89" s="255">
        <v>265.49</v>
      </c>
      <c r="M89" s="260">
        <v>2389.41</v>
      </c>
      <c r="N89" s="210"/>
    </row>
    <row r="90" spans="2:14" ht="15.75">
      <c r="B90" s="24" t="s">
        <v>297</v>
      </c>
      <c r="C90" s="121" t="s">
        <v>13</v>
      </c>
      <c r="D90" s="102">
        <v>20</v>
      </c>
      <c r="E90" s="10"/>
      <c r="F90" s="32">
        <v>390.05</v>
      </c>
      <c r="G90" s="112">
        <f t="shared" si="6"/>
        <v>0</v>
      </c>
      <c r="H90" s="25">
        <v>330.55</v>
      </c>
      <c r="I90" s="32">
        <f t="shared" si="8"/>
        <v>59.499000000000002</v>
      </c>
      <c r="J90" s="264">
        <f t="shared" si="7"/>
        <v>390.04900000000004</v>
      </c>
      <c r="K90" s="97">
        <v>20</v>
      </c>
      <c r="L90" s="255">
        <v>390.05</v>
      </c>
      <c r="M90" s="260">
        <v>7801</v>
      </c>
      <c r="N90" s="210"/>
    </row>
    <row r="91" spans="2:14" ht="15.75">
      <c r="B91" s="70" t="s">
        <v>298</v>
      </c>
      <c r="C91" s="122" t="s">
        <v>9</v>
      </c>
      <c r="D91" s="102">
        <v>7</v>
      </c>
      <c r="E91" s="39"/>
      <c r="F91" s="216">
        <v>141.6</v>
      </c>
      <c r="G91" s="112">
        <f t="shared" si="6"/>
        <v>0</v>
      </c>
      <c r="H91" s="215">
        <v>120</v>
      </c>
      <c r="I91" s="216">
        <f t="shared" si="8"/>
        <v>21.599999999999998</v>
      </c>
      <c r="J91" s="265">
        <f t="shared" si="7"/>
        <v>141.6</v>
      </c>
      <c r="K91" s="97">
        <v>11</v>
      </c>
      <c r="L91" s="255">
        <v>141.6</v>
      </c>
      <c r="M91" s="260">
        <v>1557.6</v>
      </c>
      <c r="N91" s="210"/>
    </row>
    <row r="92" spans="2:14" ht="15.75">
      <c r="B92" s="24" t="s">
        <v>352</v>
      </c>
      <c r="C92" s="97" t="s">
        <v>9</v>
      </c>
      <c r="D92" s="102">
        <v>6</v>
      </c>
      <c r="E92" s="97"/>
      <c r="F92" s="217">
        <v>230.1</v>
      </c>
      <c r="G92" s="112">
        <f t="shared" si="6"/>
        <v>0</v>
      </c>
      <c r="H92" s="217">
        <v>195</v>
      </c>
      <c r="I92" s="217">
        <f t="shared" si="8"/>
        <v>35.1</v>
      </c>
      <c r="J92" s="266">
        <f t="shared" si="7"/>
        <v>230.1</v>
      </c>
      <c r="K92" s="97">
        <v>8</v>
      </c>
      <c r="L92" s="255">
        <v>230.1</v>
      </c>
      <c r="M92" s="260">
        <v>1840.8</v>
      </c>
      <c r="N92" s="218">
        <f>SUM(M7:M92)</f>
        <v>688860.43480000016</v>
      </c>
    </row>
    <row r="93" spans="2:14" ht="15.75">
      <c r="B93" s="24" t="s">
        <v>186</v>
      </c>
      <c r="C93" s="121" t="s">
        <v>13</v>
      </c>
      <c r="D93" s="102">
        <v>4</v>
      </c>
      <c r="E93" s="97"/>
      <c r="F93" s="217">
        <v>3835</v>
      </c>
      <c r="G93" s="112">
        <f t="shared" si="6"/>
        <v>0</v>
      </c>
      <c r="H93" s="217"/>
      <c r="I93" s="217"/>
      <c r="J93" s="266"/>
      <c r="K93" s="271">
        <v>4</v>
      </c>
      <c r="L93" s="255">
        <v>3835</v>
      </c>
      <c r="M93" s="260">
        <v>15340</v>
      </c>
      <c r="N93" s="218"/>
    </row>
    <row r="94" spans="2:14" ht="15.75">
      <c r="B94" s="24" t="s">
        <v>299</v>
      </c>
      <c r="C94" s="121" t="s">
        <v>13</v>
      </c>
      <c r="D94" s="102">
        <v>273</v>
      </c>
      <c r="E94" s="237"/>
      <c r="F94" s="238">
        <v>30.09</v>
      </c>
      <c r="G94" s="112">
        <f t="shared" si="6"/>
        <v>0</v>
      </c>
      <c r="H94" s="238">
        <v>321</v>
      </c>
      <c r="I94" s="238">
        <f t="shared" si="8"/>
        <v>57.78</v>
      </c>
      <c r="J94" s="220">
        <f t="shared" si="7"/>
        <v>378.78</v>
      </c>
      <c r="K94" s="97">
        <v>288</v>
      </c>
      <c r="L94" s="255">
        <v>30.09</v>
      </c>
      <c r="M94" s="260">
        <v>8665.92</v>
      </c>
      <c r="N94" s="218">
        <f>F94/12</f>
        <v>2.5074999999999998</v>
      </c>
    </row>
    <row r="95" spans="2:14" ht="15.75">
      <c r="B95" s="52" t="s">
        <v>300</v>
      </c>
      <c r="C95" s="139" t="s">
        <v>13</v>
      </c>
      <c r="D95" s="233">
        <v>192</v>
      </c>
      <c r="E95" s="97"/>
      <c r="F95" s="244">
        <v>28.04</v>
      </c>
      <c r="G95" s="112">
        <f t="shared" si="6"/>
        <v>0</v>
      </c>
      <c r="H95" s="115">
        <v>23.76</v>
      </c>
      <c r="I95" s="115">
        <f t="shared" si="8"/>
        <v>4.2767999999999997</v>
      </c>
      <c r="J95" s="267">
        <f t="shared" si="7"/>
        <v>28.036799999999999</v>
      </c>
      <c r="K95" s="97">
        <v>267</v>
      </c>
      <c r="L95" s="255">
        <v>39.825000000000003</v>
      </c>
      <c r="M95" s="260">
        <v>10633.275000000001</v>
      </c>
      <c r="N95" s="210"/>
    </row>
    <row r="96" spans="2:14" ht="15.75">
      <c r="B96" s="24" t="s">
        <v>85</v>
      </c>
      <c r="C96" s="121" t="s">
        <v>29</v>
      </c>
      <c r="D96" s="102">
        <v>13</v>
      </c>
      <c r="E96" s="102"/>
      <c r="F96" s="212">
        <v>271.39999999999998</v>
      </c>
      <c r="G96" s="112">
        <f t="shared" si="6"/>
        <v>0</v>
      </c>
      <c r="H96" s="212">
        <v>230</v>
      </c>
      <c r="I96" s="212">
        <f t="shared" si="8"/>
        <v>41.4</v>
      </c>
      <c r="J96" s="263">
        <f t="shared" ref="J96:J135" si="9">I96+H96</f>
        <v>271.39999999999998</v>
      </c>
      <c r="K96" s="97">
        <v>14</v>
      </c>
      <c r="L96" s="253">
        <v>271.39999999999998</v>
      </c>
      <c r="M96" s="209">
        <v>3799.5999999999995</v>
      </c>
      <c r="N96" s="210"/>
    </row>
    <row r="97" spans="2:15" ht="15.75">
      <c r="B97" s="24" t="s">
        <v>301</v>
      </c>
      <c r="C97" s="121" t="s">
        <v>13</v>
      </c>
      <c r="D97" s="102">
        <v>14</v>
      </c>
      <c r="E97" s="10"/>
      <c r="F97" s="211">
        <v>106.2</v>
      </c>
      <c r="G97" s="112">
        <f t="shared" si="6"/>
        <v>0</v>
      </c>
      <c r="H97" s="211">
        <v>90</v>
      </c>
      <c r="I97" s="211">
        <f t="shared" si="8"/>
        <v>16.2</v>
      </c>
      <c r="J97" s="268">
        <f t="shared" si="9"/>
        <v>106.2</v>
      </c>
      <c r="K97" s="97">
        <v>27</v>
      </c>
      <c r="L97" s="256">
        <v>106.2</v>
      </c>
      <c r="M97" s="209">
        <v>2867.4</v>
      </c>
      <c r="N97" s="210"/>
    </row>
    <row r="98" spans="2:15" ht="15.75">
      <c r="B98" s="24" t="s">
        <v>302</v>
      </c>
      <c r="C98" s="121" t="s">
        <v>89</v>
      </c>
      <c r="D98" s="102">
        <v>302</v>
      </c>
      <c r="E98" s="10"/>
      <c r="F98" s="243">
        <v>436.6</v>
      </c>
      <c r="G98" s="112">
        <f t="shared" si="6"/>
        <v>0</v>
      </c>
      <c r="H98" s="25">
        <v>375</v>
      </c>
      <c r="I98" s="25">
        <f t="shared" si="8"/>
        <v>67.5</v>
      </c>
      <c r="J98" s="193">
        <f t="shared" si="9"/>
        <v>442.5</v>
      </c>
      <c r="K98" s="97">
        <v>325</v>
      </c>
      <c r="L98" s="256">
        <v>436.6</v>
      </c>
      <c r="M98" s="209">
        <v>141895</v>
      </c>
      <c r="N98" s="210"/>
    </row>
    <row r="99" spans="2:15" ht="15.75">
      <c r="B99" s="24" t="s">
        <v>303</v>
      </c>
      <c r="C99" s="121" t="s">
        <v>89</v>
      </c>
      <c r="D99" s="102">
        <v>22</v>
      </c>
      <c r="E99" s="10"/>
      <c r="F99" s="25">
        <v>507.4</v>
      </c>
      <c r="G99" s="112">
        <f t="shared" si="6"/>
        <v>0</v>
      </c>
      <c r="H99" s="25">
        <v>360</v>
      </c>
      <c r="I99" s="25">
        <f t="shared" si="8"/>
        <v>64.8</v>
      </c>
      <c r="J99" s="193">
        <f t="shared" si="9"/>
        <v>424.8</v>
      </c>
      <c r="K99" s="97">
        <v>20</v>
      </c>
      <c r="L99" s="256">
        <v>507.4</v>
      </c>
      <c r="M99" s="209">
        <v>10148</v>
      </c>
      <c r="N99" s="210"/>
    </row>
    <row r="100" spans="2:15" ht="15.75">
      <c r="B100" s="24" t="s">
        <v>304</v>
      </c>
      <c r="C100" s="121" t="s">
        <v>29</v>
      </c>
      <c r="D100" s="102">
        <v>2</v>
      </c>
      <c r="E100" s="10"/>
      <c r="F100" s="25">
        <v>285.32</v>
      </c>
      <c r="G100" s="112">
        <f t="shared" si="6"/>
        <v>0</v>
      </c>
      <c r="H100" s="25">
        <v>241.8</v>
      </c>
      <c r="I100" s="25">
        <f t="shared" si="8"/>
        <v>43.524000000000001</v>
      </c>
      <c r="J100" s="193">
        <f t="shared" si="9"/>
        <v>285.32400000000001</v>
      </c>
      <c r="K100" s="97">
        <v>2</v>
      </c>
      <c r="L100" s="256">
        <v>285.32</v>
      </c>
      <c r="M100" s="209">
        <v>570.64</v>
      </c>
      <c r="N100" s="210"/>
    </row>
    <row r="101" spans="2:15" ht="15.75">
      <c r="B101" s="24" t="s">
        <v>305</v>
      </c>
      <c r="C101" s="121" t="s">
        <v>13</v>
      </c>
      <c r="D101" s="102">
        <v>64</v>
      </c>
      <c r="E101" s="10"/>
      <c r="F101" s="243">
        <v>37.76</v>
      </c>
      <c r="G101" s="112">
        <f t="shared" si="6"/>
        <v>0</v>
      </c>
      <c r="H101" s="25">
        <v>18</v>
      </c>
      <c r="I101" s="25">
        <f t="shared" si="8"/>
        <v>3.2399999999999998</v>
      </c>
      <c r="J101" s="193">
        <f t="shared" si="9"/>
        <v>21.24</v>
      </c>
      <c r="K101" s="97">
        <v>84</v>
      </c>
      <c r="L101" s="256">
        <v>43.423999999999999</v>
      </c>
      <c r="M101" s="209">
        <v>3647.616</v>
      </c>
      <c r="N101" s="210"/>
    </row>
    <row r="102" spans="2:15" ht="15.75">
      <c r="B102" s="24" t="s">
        <v>306</v>
      </c>
      <c r="C102" s="121" t="s">
        <v>13</v>
      </c>
      <c r="D102" s="102">
        <v>346</v>
      </c>
      <c r="E102" s="10"/>
      <c r="F102" s="211">
        <v>149.96</v>
      </c>
      <c r="G102" s="112">
        <f t="shared" si="6"/>
        <v>0</v>
      </c>
      <c r="H102" s="211">
        <v>1525</v>
      </c>
      <c r="I102" s="211">
        <f t="shared" si="8"/>
        <v>274.5</v>
      </c>
      <c r="J102" s="268">
        <f t="shared" si="9"/>
        <v>1799.5</v>
      </c>
      <c r="K102" s="97">
        <v>269</v>
      </c>
      <c r="L102" s="256">
        <v>149.96</v>
      </c>
      <c r="M102" s="209">
        <v>40339.240000000005</v>
      </c>
      <c r="N102" s="218"/>
    </row>
    <row r="103" spans="2:15" ht="15.75">
      <c r="B103" s="24" t="s">
        <v>92</v>
      </c>
      <c r="C103" s="121" t="s">
        <v>13</v>
      </c>
      <c r="D103" s="102">
        <v>88</v>
      </c>
      <c r="E103" s="10"/>
      <c r="F103" s="170">
        <v>132.75</v>
      </c>
      <c r="G103" s="112">
        <f t="shared" si="6"/>
        <v>0</v>
      </c>
      <c r="H103" s="211">
        <v>675</v>
      </c>
      <c r="I103" s="211">
        <f t="shared" si="8"/>
        <v>121.5</v>
      </c>
      <c r="J103" s="268">
        <f t="shared" si="9"/>
        <v>796.5</v>
      </c>
      <c r="K103" s="97">
        <v>144</v>
      </c>
      <c r="L103" s="256">
        <v>132.75</v>
      </c>
      <c r="M103" s="209">
        <v>19116</v>
      </c>
      <c r="N103" s="210"/>
    </row>
    <row r="104" spans="2:15" ht="15.75">
      <c r="B104" s="24" t="s">
        <v>307</v>
      </c>
      <c r="C104" s="121" t="s">
        <v>13</v>
      </c>
      <c r="D104" s="102">
        <v>25</v>
      </c>
      <c r="E104" s="10"/>
      <c r="F104" s="115">
        <v>141.6</v>
      </c>
      <c r="G104" s="112">
        <f t="shared" si="6"/>
        <v>0</v>
      </c>
      <c r="H104" s="25">
        <v>120</v>
      </c>
      <c r="I104" s="25">
        <f t="shared" si="8"/>
        <v>21.599999999999998</v>
      </c>
      <c r="J104" s="193">
        <f t="shared" si="9"/>
        <v>141.6</v>
      </c>
      <c r="K104" s="97">
        <v>22</v>
      </c>
      <c r="L104" s="254">
        <v>141.6</v>
      </c>
      <c r="M104" s="209">
        <v>3115.2</v>
      </c>
      <c r="N104" s="210"/>
    </row>
    <row r="105" spans="2:15" ht="15.75">
      <c r="B105" s="24" t="s">
        <v>308</v>
      </c>
      <c r="C105" s="121" t="s">
        <v>89</v>
      </c>
      <c r="D105" s="102">
        <v>13</v>
      </c>
      <c r="E105" s="10"/>
      <c r="F105" s="115">
        <v>1947</v>
      </c>
      <c r="G105" s="112">
        <f t="shared" si="6"/>
        <v>0</v>
      </c>
      <c r="H105" s="25"/>
      <c r="I105" s="25"/>
      <c r="J105" s="193"/>
      <c r="K105" s="97">
        <v>12</v>
      </c>
      <c r="L105" s="254">
        <v>1947</v>
      </c>
      <c r="M105" s="209">
        <v>23364</v>
      </c>
      <c r="N105" s="210"/>
    </row>
    <row r="106" spans="2:15" ht="15.75">
      <c r="B106" s="24" t="s">
        <v>309</v>
      </c>
      <c r="C106" s="121" t="s">
        <v>13</v>
      </c>
      <c r="D106" s="102">
        <v>109</v>
      </c>
      <c r="E106" s="10"/>
      <c r="F106" s="115">
        <v>37.052</v>
      </c>
      <c r="G106" s="112">
        <f t="shared" si="6"/>
        <v>0</v>
      </c>
      <c r="H106" s="25">
        <v>785</v>
      </c>
      <c r="I106" s="25">
        <f t="shared" si="8"/>
        <v>141.29999999999998</v>
      </c>
      <c r="J106" s="193">
        <f t="shared" si="9"/>
        <v>926.3</v>
      </c>
      <c r="K106" s="97">
        <v>106</v>
      </c>
      <c r="L106" s="254">
        <v>37.052</v>
      </c>
      <c r="M106" s="209">
        <v>3927.5120000000002</v>
      </c>
      <c r="N106" s="210"/>
    </row>
    <row r="107" spans="2:15" ht="15.75">
      <c r="B107" s="24" t="s">
        <v>310</v>
      </c>
      <c r="C107" s="121" t="s">
        <v>13</v>
      </c>
      <c r="D107" s="102">
        <v>325</v>
      </c>
      <c r="E107" s="10"/>
      <c r="F107" s="115">
        <v>43.058199999999999</v>
      </c>
      <c r="G107" s="112">
        <f t="shared" si="6"/>
        <v>0</v>
      </c>
      <c r="H107" s="25">
        <v>912.34</v>
      </c>
      <c r="I107" s="25">
        <f t="shared" si="8"/>
        <v>164.22120000000001</v>
      </c>
      <c r="J107" s="193">
        <f t="shared" si="9"/>
        <v>1076.5612000000001</v>
      </c>
      <c r="K107" s="97">
        <v>300</v>
      </c>
      <c r="L107" s="254">
        <v>43.058199999999999</v>
      </c>
      <c r="M107" s="209">
        <v>12917.46</v>
      </c>
      <c r="N107" s="210"/>
      <c r="O107" s="95"/>
    </row>
    <row r="108" spans="2:15" ht="15.75">
      <c r="B108" s="24" t="s">
        <v>93</v>
      </c>
      <c r="C108" s="121" t="s">
        <v>13</v>
      </c>
      <c r="D108" s="102">
        <v>19</v>
      </c>
      <c r="E108" s="10"/>
      <c r="F108" s="115">
        <v>424.8</v>
      </c>
      <c r="G108" s="112">
        <f t="shared" si="6"/>
        <v>0</v>
      </c>
      <c r="H108" s="25">
        <v>360</v>
      </c>
      <c r="I108" s="25">
        <f t="shared" si="8"/>
        <v>64.8</v>
      </c>
      <c r="J108" s="193">
        <f t="shared" si="9"/>
        <v>424.8</v>
      </c>
      <c r="K108" s="97">
        <v>19</v>
      </c>
      <c r="L108" s="254">
        <v>424.8</v>
      </c>
      <c r="M108" s="209">
        <v>8071.2</v>
      </c>
      <c r="N108" s="210"/>
    </row>
    <row r="109" spans="2:15" ht="15.75">
      <c r="B109" s="24" t="s">
        <v>94</v>
      </c>
      <c r="C109" s="121" t="s">
        <v>13</v>
      </c>
      <c r="D109" s="102">
        <v>21</v>
      </c>
      <c r="E109" s="10"/>
      <c r="F109" s="115">
        <v>519.20000000000005</v>
      </c>
      <c r="G109" s="112">
        <f t="shared" si="6"/>
        <v>0</v>
      </c>
      <c r="H109" s="25">
        <v>495</v>
      </c>
      <c r="I109" s="25">
        <f t="shared" si="8"/>
        <v>89.1</v>
      </c>
      <c r="J109" s="193">
        <f t="shared" si="9"/>
        <v>584.1</v>
      </c>
      <c r="K109" s="97">
        <v>22</v>
      </c>
      <c r="L109" s="254">
        <v>519.20000000000005</v>
      </c>
      <c r="M109" s="209">
        <v>11422.400000000001</v>
      </c>
      <c r="N109" s="210"/>
    </row>
    <row r="110" spans="2:15" ht="15.75">
      <c r="B110" s="24" t="s">
        <v>187</v>
      </c>
      <c r="C110" s="121" t="s">
        <v>13</v>
      </c>
      <c r="D110" s="102">
        <v>2</v>
      </c>
      <c r="E110" s="10"/>
      <c r="F110" s="115">
        <v>850</v>
      </c>
      <c r="G110" s="112">
        <f t="shared" si="6"/>
        <v>0</v>
      </c>
      <c r="H110" s="25"/>
      <c r="I110" s="25"/>
      <c r="J110" s="193"/>
      <c r="K110" s="97">
        <v>2</v>
      </c>
      <c r="L110" s="254">
        <v>850</v>
      </c>
      <c r="M110" s="209">
        <v>1700</v>
      </c>
      <c r="N110" s="210"/>
    </row>
    <row r="111" spans="2:15" ht="15.75">
      <c r="B111" s="24" t="s">
        <v>183</v>
      </c>
      <c r="C111" s="121" t="s">
        <v>13</v>
      </c>
      <c r="D111" s="102">
        <v>2</v>
      </c>
      <c r="E111" s="10"/>
      <c r="F111" s="115">
        <v>2600</v>
      </c>
      <c r="G111" s="112">
        <f t="shared" si="6"/>
        <v>0</v>
      </c>
      <c r="H111" s="25"/>
      <c r="I111" s="25"/>
      <c r="J111" s="193"/>
      <c r="K111" s="97">
        <v>2</v>
      </c>
      <c r="L111" s="254">
        <v>2600</v>
      </c>
      <c r="M111" s="209">
        <v>5200</v>
      </c>
      <c r="N111" s="210"/>
    </row>
    <row r="112" spans="2:15" ht="15.75">
      <c r="B112" s="24" t="s">
        <v>198</v>
      </c>
      <c r="C112" s="121" t="s">
        <v>13</v>
      </c>
      <c r="D112" s="102">
        <v>3</v>
      </c>
      <c r="E112" s="121"/>
      <c r="F112" s="115">
        <v>1652</v>
      </c>
      <c r="G112" s="112">
        <f t="shared" si="6"/>
        <v>0</v>
      </c>
      <c r="H112" s="25"/>
      <c r="I112" s="25"/>
      <c r="J112" s="193"/>
      <c r="K112" s="97">
        <v>3</v>
      </c>
      <c r="L112" s="254">
        <v>1652</v>
      </c>
      <c r="M112" s="209">
        <v>4956</v>
      </c>
      <c r="N112" s="210"/>
    </row>
    <row r="113" spans="2:14" ht="15.75">
      <c r="B113" s="24" t="s">
        <v>353</v>
      </c>
      <c r="C113" s="121" t="s">
        <v>13</v>
      </c>
      <c r="D113" s="102"/>
      <c r="E113" s="239">
        <v>1</v>
      </c>
      <c r="F113" s="115">
        <v>3143.4</v>
      </c>
      <c r="G113" s="112">
        <f t="shared" si="6"/>
        <v>3143.4</v>
      </c>
      <c r="H113" s="25"/>
      <c r="I113" s="25"/>
      <c r="J113" s="193"/>
      <c r="K113" s="97">
        <v>1</v>
      </c>
      <c r="L113" s="254">
        <v>3709.212</v>
      </c>
      <c r="M113" s="209">
        <v>3709.212</v>
      </c>
      <c r="N113" s="210"/>
    </row>
    <row r="114" spans="2:14" ht="15.75">
      <c r="B114" s="24" t="s">
        <v>145</v>
      </c>
      <c r="C114" s="97" t="s">
        <v>29</v>
      </c>
      <c r="D114" s="102">
        <v>74</v>
      </c>
      <c r="E114" s="10"/>
      <c r="F114" s="115">
        <v>12.78</v>
      </c>
      <c r="G114" s="112">
        <f t="shared" si="6"/>
        <v>0</v>
      </c>
      <c r="H114" s="25">
        <v>260</v>
      </c>
      <c r="I114" s="25">
        <f t="shared" si="8"/>
        <v>46.8</v>
      </c>
      <c r="J114" s="193">
        <f t="shared" si="9"/>
        <v>306.8</v>
      </c>
      <c r="K114" s="97">
        <v>38</v>
      </c>
      <c r="L114" s="254">
        <v>12.78</v>
      </c>
      <c r="M114" s="209">
        <v>485.64</v>
      </c>
      <c r="N114" s="210"/>
    </row>
    <row r="115" spans="2:14" ht="15.75">
      <c r="B115" s="24" t="s">
        <v>102</v>
      </c>
      <c r="C115" s="97" t="s">
        <v>13</v>
      </c>
      <c r="D115" s="102">
        <v>7</v>
      </c>
      <c r="E115" s="10"/>
      <c r="F115" s="115">
        <v>99.1</v>
      </c>
      <c r="G115" s="112">
        <f t="shared" si="6"/>
        <v>0</v>
      </c>
      <c r="H115" s="25">
        <v>84</v>
      </c>
      <c r="I115" s="25">
        <f t="shared" si="8"/>
        <v>15.12</v>
      </c>
      <c r="J115" s="219">
        <f t="shared" si="9"/>
        <v>99.12</v>
      </c>
      <c r="K115" s="97">
        <v>4</v>
      </c>
      <c r="L115" s="254">
        <v>99.1</v>
      </c>
      <c r="M115" s="209">
        <v>396.4</v>
      </c>
      <c r="N115" s="210"/>
    </row>
    <row r="116" spans="2:14" ht="15.75">
      <c r="B116" s="24" t="s">
        <v>311</v>
      </c>
      <c r="C116" s="97" t="s">
        <v>29</v>
      </c>
      <c r="D116" s="102">
        <v>7</v>
      </c>
      <c r="E116" s="39"/>
      <c r="F116" s="115">
        <v>59</v>
      </c>
      <c r="G116" s="112">
        <f t="shared" si="6"/>
        <v>0</v>
      </c>
      <c r="H116" s="114">
        <v>50</v>
      </c>
      <c r="I116" s="219">
        <f t="shared" si="8"/>
        <v>9</v>
      </c>
      <c r="J116" s="220">
        <f t="shared" si="9"/>
        <v>59</v>
      </c>
      <c r="K116" s="97">
        <v>6</v>
      </c>
      <c r="L116" s="254">
        <v>59</v>
      </c>
      <c r="M116" s="209">
        <v>354</v>
      </c>
      <c r="N116" s="218"/>
    </row>
    <row r="117" spans="2:14" ht="15.75">
      <c r="B117" s="24" t="s">
        <v>100</v>
      </c>
      <c r="C117" s="97" t="s">
        <v>29</v>
      </c>
      <c r="D117" s="102">
        <v>54</v>
      </c>
      <c r="E117" s="10"/>
      <c r="F117" s="32">
        <v>37.76</v>
      </c>
      <c r="G117" s="112">
        <f t="shared" si="6"/>
        <v>0</v>
      </c>
      <c r="H117" s="25">
        <v>282</v>
      </c>
      <c r="I117" s="25">
        <f t="shared" si="8"/>
        <v>50.76</v>
      </c>
      <c r="J117" s="193">
        <f t="shared" si="9"/>
        <v>332.76</v>
      </c>
      <c r="K117" s="97">
        <v>29</v>
      </c>
      <c r="L117" s="253">
        <v>37.76</v>
      </c>
      <c r="M117" s="209">
        <v>1095.04</v>
      </c>
      <c r="N117" s="210"/>
    </row>
    <row r="118" spans="2:14" ht="15.75">
      <c r="B118" s="52" t="s">
        <v>154</v>
      </c>
      <c r="C118" s="139" t="s">
        <v>13</v>
      </c>
      <c r="D118" s="102">
        <v>20</v>
      </c>
      <c r="E118" s="10"/>
      <c r="F118" s="25">
        <v>20.8</v>
      </c>
      <c r="G118" s="112">
        <f t="shared" si="6"/>
        <v>0</v>
      </c>
      <c r="H118" s="25">
        <v>17.63</v>
      </c>
      <c r="I118" s="25">
        <f t="shared" si="8"/>
        <v>3.1733999999999996</v>
      </c>
      <c r="J118" s="193">
        <f t="shared" si="9"/>
        <v>20.8034</v>
      </c>
      <c r="K118" s="97">
        <v>20</v>
      </c>
      <c r="L118" s="257">
        <v>20.8</v>
      </c>
      <c r="M118" s="209">
        <v>416</v>
      </c>
      <c r="N118" s="210"/>
    </row>
    <row r="119" spans="2:14" ht="15.75">
      <c r="B119" s="24" t="s">
        <v>184</v>
      </c>
      <c r="C119" s="121" t="s">
        <v>13</v>
      </c>
      <c r="D119" s="102">
        <v>3</v>
      </c>
      <c r="E119" s="10"/>
      <c r="F119" s="25">
        <v>2065</v>
      </c>
      <c r="G119" s="112">
        <f t="shared" si="6"/>
        <v>0</v>
      </c>
      <c r="H119" s="25"/>
      <c r="I119" s="25"/>
      <c r="J119" s="193"/>
      <c r="K119" s="97">
        <v>3</v>
      </c>
      <c r="L119" s="257">
        <v>2065</v>
      </c>
      <c r="M119" s="209">
        <v>6195</v>
      </c>
      <c r="N119" s="210"/>
    </row>
    <row r="120" spans="2:14" ht="15.75">
      <c r="B120" s="52" t="s">
        <v>312</v>
      </c>
      <c r="C120" s="121" t="s">
        <v>13</v>
      </c>
      <c r="D120" s="102">
        <v>30</v>
      </c>
      <c r="E120" s="10"/>
      <c r="F120" s="243">
        <v>76.7</v>
      </c>
      <c r="G120" s="112">
        <f t="shared" si="6"/>
        <v>0</v>
      </c>
      <c r="H120" s="25">
        <v>34.020000000000003</v>
      </c>
      <c r="I120" s="25">
        <f t="shared" ref="I120:I143" si="10">+H120*18%</f>
        <v>6.1236000000000006</v>
      </c>
      <c r="J120" s="193">
        <f t="shared" si="9"/>
        <v>40.143600000000006</v>
      </c>
      <c r="K120" s="97">
        <v>53</v>
      </c>
      <c r="L120" s="257">
        <v>53.1</v>
      </c>
      <c r="M120" s="209">
        <v>2814.3</v>
      </c>
      <c r="N120" s="210"/>
    </row>
    <row r="121" spans="2:14" ht="15.75">
      <c r="B121" s="24" t="s">
        <v>313</v>
      </c>
      <c r="C121" s="121" t="s">
        <v>31</v>
      </c>
      <c r="D121" s="102">
        <v>108</v>
      </c>
      <c r="E121" s="10"/>
      <c r="F121" s="243">
        <v>17.7</v>
      </c>
      <c r="G121" s="112">
        <f t="shared" ref="G121:G165" si="11">F121*E121</f>
        <v>0</v>
      </c>
      <c r="H121" s="25">
        <v>156</v>
      </c>
      <c r="I121" s="25">
        <f t="shared" si="10"/>
        <v>28.08</v>
      </c>
      <c r="J121" s="193">
        <f t="shared" si="9"/>
        <v>184.07999999999998</v>
      </c>
      <c r="K121" s="97">
        <v>106</v>
      </c>
      <c r="L121" s="257">
        <v>17.7</v>
      </c>
      <c r="M121" s="209">
        <v>1876.1999999999998</v>
      </c>
      <c r="N121" s="210"/>
    </row>
    <row r="122" spans="2:14" ht="15.75">
      <c r="B122" s="24" t="s">
        <v>314</v>
      </c>
      <c r="C122" s="121" t="s">
        <v>13</v>
      </c>
      <c r="D122" s="102">
        <v>61</v>
      </c>
      <c r="E122" s="10"/>
      <c r="F122" s="25">
        <v>8.26</v>
      </c>
      <c r="G122" s="112">
        <f t="shared" si="11"/>
        <v>0</v>
      </c>
      <c r="H122" s="25">
        <v>7</v>
      </c>
      <c r="I122" s="25">
        <f t="shared" si="10"/>
        <v>1.26</v>
      </c>
      <c r="J122" s="193">
        <f t="shared" si="9"/>
        <v>8.26</v>
      </c>
      <c r="K122" s="97">
        <v>58</v>
      </c>
      <c r="L122" s="257">
        <v>8.26</v>
      </c>
      <c r="M122" s="209">
        <v>479.08</v>
      </c>
      <c r="N122" s="210"/>
    </row>
    <row r="123" spans="2:14" ht="15.75">
      <c r="B123" s="24" t="s">
        <v>315</v>
      </c>
      <c r="C123" s="121" t="s">
        <v>13</v>
      </c>
      <c r="D123" s="102"/>
      <c r="E123" s="241">
        <v>12</v>
      </c>
      <c r="F123" s="25">
        <v>127.83320000000001</v>
      </c>
      <c r="G123" s="112">
        <f t="shared" si="11"/>
        <v>1533.9983999999999</v>
      </c>
      <c r="H123" s="25"/>
      <c r="I123" s="25"/>
      <c r="J123" s="193"/>
      <c r="K123" s="97">
        <v>12</v>
      </c>
      <c r="L123" s="257">
        <v>127.83329999999999</v>
      </c>
      <c r="M123" s="209">
        <v>1533.9995999999999</v>
      </c>
      <c r="N123" s="210"/>
    </row>
    <row r="124" spans="2:14" ht="15.75">
      <c r="B124" s="24" t="s">
        <v>316</v>
      </c>
      <c r="C124" s="121" t="s">
        <v>13</v>
      </c>
      <c r="D124" s="102"/>
      <c r="E124" s="241">
        <v>12</v>
      </c>
      <c r="F124" s="25">
        <v>245.83320000000001</v>
      </c>
      <c r="G124" s="112">
        <f t="shared" si="11"/>
        <v>2949.9983999999999</v>
      </c>
      <c r="H124" s="25"/>
      <c r="I124" s="25"/>
      <c r="J124" s="193"/>
      <c r="K124" s="97">
        <v>12</v>
      </c>
      <c r="L124" s="257">
        <v>245.83330000000001</v>
      </c>
      <c r="M124" s="209">
        <v>2949.9996000000001</v>
      </c>
      <c r="N124" s="210"/>
    </row>
    <row r="125" spans="2:14" ht="15.75">
      <c r="B125" s="24" t="s">
        <v>108</v>
      </c>
      <c r="C125" s="121" t="s">
        <v>13</v>
      </c>
      <c r="D125" s="102">
        <v>201</v>
      </c>
      <c r="E125" s="10"/>
      <c r="F125" s="25">
        <v>80.45</v>
      </c>
      <c r="G125" s="112">
        <f t="shared" si="11"/>
        <v>0</v>
      </c>
      <c r="H125" s="25">
        <v>68.180000000000007</v>
      </c>
      <c r="I125" s="25">
        <f t="shared" si="10"/>
        <v>12.272400000000001</v>
      </c>
      <c r="J125" s="193">
        <f t="shared" si="9"/>
        <v>80.452400000000011</v>
      </c>
      <c r="K125" s="97">
        <v>101</v>
      </c>
      <c r="L125" s="257">
        <v>80.45</v>
      </c>
      <c r="M125" s="209">
        <v>8125.4500000000007</v>
      </c>
      <c r="N125" s="210"/>
    </row>
    <row r="126" spans="2:14" ht="15.75" hidden="1">
      <c r="B126" s="24" t="s">
        <v>109</v>
      </c>
      <c r="C126" s="121" t="s">
        <v>29</v>
      </c>
      <c r="D126" s="102"/>
      <c r="E126" s="10"/>
      <c r="F126" s="25"/>
      <c r="G126" s="112">
        <f t="shared" si="11"/>
        <v>0</v>
      </c>
      <c r="H126" s="25">
        <v>54.75</v>
      </c>
      <c r="I126" s="25">
        <f t="shared" si="10"/>
        <v>9.8550000000000004</v>
      </c>
      <c r="J126" s="193">
        <f t="shared" si="9"/>
        <v>64.605000000000004</v>
      </c>
      <c r="K126" s="97"/>
      <c r="L126" s="257"/>
      <c r="M126" s="209">
        <v>0</v>
      </c>
      <c r="N126" s="210"/>
    </row>
    <row r="127" spans="2:14" ht="15.75">
      <c r="B127" s="24" t="s">
        <v>317</v>
      </c>
      <c r="C127" s="121" t="s">
        <v>29</v>
      </c>
      <c r="D127" s="102"/>
      <c r="E127" s="235">
        <v>30</v>
      </c>
      <c r="F127" s="25">
        <v>97.35</v>
      </c>
      <c r="G127" s="112">
        <f t="shared" si="11"/>
        <v>2920.5</v>
      </c>
      <c r="H127" s="25"/>
      <c r="I127" s="25"/>
      <c r="J127" s="193"/>
      <c r="K127" s="97">
        <v>27</v>
      </c>
      <c r="L127" s="257">
        <v>97.35</v>
      </c>
      <c r="M127" s="209">
        <v>2628.45</v>
      </c>
      <c r="N127" s="210"/>
    </row>
    <row r="128" spans="2:14" ht="15.75">
      <c r="B128" s="24" t="s">
        <v>111</v>
      </c>
      <c r="C128" s="121" t="s">
        <v>29</v>
      </c>
      <c r="D128" s="102">
        <v>227</v>
      </c>
      <c r="E128" s="30"/>
      <c r="F128" s="211">
        <v>271.39999999999998</v>
      </c>
      <c r="G128" s="112">
        <f t="shared" si="11"/>
        <v>0</v>
      </c>
      <c r="H128" s="211">
        <v>1150</v>
      </c>
      <c r="I128" s="211">
        <f t="shared" si="10"/>
        <v>207</v>
      </c>
      <c r="J128" s="268">
        <f t="shared" si="9"/>
        <v>1357</v>
      </c>
      <c r="K128" s="97">
        <v>96</v>
      </c>
      <c r="L128" s="257">
        <v>271.39999999999998</v>
      </c>
      <c r="M128" s="209">
        <v>26054.399999999998</v>
      </c>
      <c r="N128" s="210"/>
    </row>
    <row r="129" spans="2:14" ht="15.75">
      <c r="B129" s="24" t="s">
        <v>113</v>
      </c>
      <c r="C129" s="121" t="s">
        <v>29</v>
      </c>
      <c r="D129" s="102">
        <v>100</v>
      </c>
      <c r="E129" s="30"/>
      <c r="F129" s="211">
        <v>147.5</v>
      </c>
      <c r="G129" s="112">
        <f t="shared" si="11"/>
        <v>0</v>
      </c>
      <c r="H129" s="211">
        <v>125</v>
      </c>
      <c r="I129" s="211">
        <f t="shared" si="10"/>
        <v>22.5</v>
      </c>
      <c r="J129" s="268">
        <f t="shared" si="9"/>
        <v>147.5</v>
      </c>
      <c r="K129" s="97">
        <v>72</v>
      </c>
      <c r="L129" s="257">
        <v>147.5</v>
      </c>
      <c r="M129" s="209">
        <v>10620</v>
      </c>
      <c r="N129" s="210"/>
    </row>
    <row r="130" spans="2:14" ht="15.75">
      <c r="B130" s="24" t="s">
        <v>318</v>
      </c>
      <c r="C130" s="121" t="s">
        <v>13</v>
      </c>
      <c r="D130" s="102">
        <v>1704</v>
      </c>
      <c r="E130" s="69"/>
      <c r="F130" s="25">
        <v>2.0699999999999998</v>
      </c>
      <c r="G130" s="112">
        <f t="shared" si="11"/>
        <v>0</v>
      </c>
      <c r="H130" s="25">
        <v>1.75</v>
      </c>
      <c r="I130" s="25">
        <f t="shared" si="10"/>
        <v>0.315</v>
      </c>
      <c r="J130" s="193">
        <f t="shared" si="9"/>
        <v>2.0649999999999999</v>
      </c>
      <c r="K130" s="97">
        <v>1704</v>
      </c>
      <c r="L130" s="257">
        <v>2.0699999999999998</v>
      </c>
      <c r="M130" s="209">
        <v>3527.2799999999997</v>
      </c>
      <c r="N130" s="210"/>
    </row>
    <row r="131" spans="2:14" ht="15.75" hidden="1">
      <c r="B131" s="24" t="s">
        <v>114</v>
      </c>
      <c r="C131" s="121" t="s">
        <v>13</v>
      </c>
      <c r="D131" s="102"/>
      <c r="E131" s="10"/>
      <c r="F131" s="25"/>
      <c r="G131" s="112">
        <f t="shared" si="11"/>
        <v>0</v>
      </c>
      <c r="H131" s="25">
        <v>1.7</v>
      </c>
      <c r="I131" s="25">
        <f t="shared" si="10"/>
        <v>0.30599999999999999</v>
      </c>
      <c r="J131" s="193">
        <f t="shared" si="9"/>
        <v>2.0059999999999998</v>
      </c>
      <c r="K131" s="97"/>
      <c r="L131" s="257"/>
      <c r="M131" s="209">
        <v>0</v>
      </c>
      <c r="N131" s="210"/>
    </row>
    <row r="132" spans="2:14" ht="15.75">
      <c r="B132" s="24" t="s">
        <v>319</v>
      </c>
      <c r="C132" s="121" t="s">
        <v>13</v>
      </c>
      <c r="D132" s="102">
        <v>965</v>
      </c>
      <c r="E132" s="10"/>
      <c r="F132" s="25">
        <v>7.43</v>
      </c>
      <c r="G132" s="112">
        <f t="shared" si="11"/>
        <v>0</v>
      </c>
      <c r="H132" s="25">
        <v>6.3</v>
      </c>
      <c r="I132" s="25">
        <f t="shared" si="10"/>
        <v>1.1339999999999999</v>
      </c>
      <c r="J132" s="193">
        <f t="shared" si="9"/>
        <v>7.4339999999999993</v>
      </c>
      <c r="K132" s="97">
        <v>865</v>
      </c>
      <c r="L132" s="257">
        <v>7.43</v>
      </c>
      <c r="M132" s="209">
        <v>6426.95</v>
      </c>
      <c r="N132" s="210"/>
    </row>
    <row r="133" spans="2:14" ht="15.75">
      <c r="B133" s="24" t="s">
        <v>320</v>
      </c>
      <c r="C133" s="121" t="s">
        <v>13</v>
      </c>
      <c r="D133" s="102">
        <v>750</v>
      </c>
      <c r="E133" s="10"/>
      <c r="F133" s="25">
        <v>7.69</v>
      </c>
      <c r="G133" s="112">
        <f t="shared" si="11"/>
        <v>0</v>
      </c>
      <c r="H133" s="25">
        <v>6.52</v>
      </c>
      <c r="I133" s="25">
        <f t="shared" si="10"/>
        <v>1.1736</v>
      </c>
      <c r="J133" s="193">
        <f t="shared" si="9"/>
        <v>7.6936</v>
      </c>
      <c r="K133" s="97">
        <v>650</v>
      </c>
      <c r="L133" s="257">
        <v>7.69</v>
      </c>
      <c r="M133" s="209">
        <v>4998.5</v>
      </c>
      <c r="N133" s="210"/>
    </row>
    <row r="134" spans="2:14" ht="15.75">
      <c r="B134" s="24" t="s">
        <v>321</v>
      </c>
      <c r="C134" s="121" t="s">
        <v>13</v>
      </c>
      <c r="D134" s="102">
        <v>1175</v>
      </c>
      <c r="E134" s="10"/>
      <c r="F134" s="25">
        <v>5.43</v>
      </c>
      <c r="G134" s="112">
        <f t="shared" si="11"/>
        <v>0</v>
      </c>
      <c r="H134" s="25">
        <v>4.5999999999999996</v>
      </c>
      <c r="I134" s="25">
        <f t="shared" si="10"/>
        <v>0.82799999999999996</v>
      </c>
      <c r="J134" s="193">
        <f t="shared" si="9"/>
        <v>5.4279999999999999</v>
      </c>
      <c r="K134" s="97">
        <v>1100</v>
      </c>
      <c r="L134" s="257">
        <v>5.43</v>
      </c>
      <c r="M134" s="209">
        <v>5973</v>
      </c>
      <c r="N134" s="210"/>
    </row>
    <row r="135" spans="2:14" ht="15.75">
      <c r="B135" s="56" t="s">
        <v>322</v>
      </c>
      <c r="C135" s="121" t="s">
        <v>13</v>
      </c>
      <c r="D135" s="102">
        <v>600</v>
      </c>
      <c r="E135" s="10"/>
      <c r="F135" s="25">
        <v>2.0699999999999998</v>
      </c>
      <c r="G135" s="112">
        <f t="shared" si="11"/>
        <v>0</v>
      </c>
      <c r="H135" s="25">
        <v>1.75</v>
      </c>
      <c r="I135" s="25">
        <f t="shared" si="10"/>
        <v>0.315</v>
      </c>
      <c r="J135" s="193">
        <f t="shared" si="9"/>
        <v>2.0649999999999999</v>
      </c>
      <c r="K135" s="97">
        <v>500</v>
      </c>
      <c r="L135" s="257">
        <v>2.0699999999999998</v>
      </c>
      <c r="M135" s="209">
        <v>1035</v>
      </c>
      <c r="N135" s="210"/>
    </row>
    <row r="136" spans="2:14" ht="15.75">
      <c r="B136" s="24" t="s">
        <v>323</v>
      </c>
      <c r="C136" s="121" t="s">
        <v>13</v>
      </c>
      <c r="D136" s="102">
        <v>893</v>
      </c>
      <c r="E136" s="10"/>
      <c r="F136" s="25">
        <v>7.67</v>
      </c>
      <c r="G136" s="112">
        <f t="shared" si="11"/>
        <v>0</v>
      </c>
      <c r="H136" s="25"/>
      <c r="I136" s="25"/>
      <c r="J136" s="193"/>
      <c r="K136" s="97">
        <v>700</v>
      </c>
      <c r="L136" s="257">
        <v>7.67</v>
      </c>
      <c r="M136" s="209">
        <v>5369</v>
      </c>
      <c r="N136" s="210"/>
    </row>
    <row r="137" spans="2:14" ht="15.75">
      <c r="B137" s="24" t="s">
        <v>324</v>
      </c>
      <c r="C137" s="121" t="s">
        <v>13</v>
      </c>
      <c r="D137" s="102">
        <v>1000</v>
      </c>
      <c r="E137" s="10"/>
      <c r="F137" s="25">
        <v>8.85</v>
      </c>
      <c r="G137" s="112">
        <f t="shared" si="11"/>
        <v>0</v>
      </c>
      <c r="H137" s="25"/>
      <c r="I137" s="25"/>
      <c r="J137" s="193"/>
      <c r="K137" s="97">
        <v>1600</v>
      </c>
      <c r="L137" s="257">
        <v>8.85</v>
      </c>
      <c r="M137" s="209">
        <v>14160</v>
      </c>
      <c r="N137" s="210"/>
    </row>
    <row r="138" spans="2:14" ht="15.75">
      <c r="B138" s="24" t="s">
        <v>121</v>
      </c>
      <c r="C138" s="121" t="s">
        <v>13</v>
      </c>
      <c r="D138" s="102">
        <v>6</v>
      </c>
      <c r="E138" s="10"/>
      <c r="F138" s="211">
        <v>153.4</v>
      </c>
      <c r="G138" s="112">
        <f t="shared" si="11"/>
        <v>0</v>
      </c>
      <c r="H138" s="211">
        <v>130</v>
      </c>
      <c r="I138" s="211">
        <f t="shared" si="10"/>
        <v>23.4</v>
      </c>
      <c r="J138" s="268">
        <f t="shared" ref="J138:J165" si="12">I138+H138</f>
        <v>153.4</v>
      </c>
      <c r="K138" s="97">
        <v>5</v>
      </c>
      <c r="L138" s="257">
        <v>153.4</v>
      </c>
      <c r="M138" s="209">
        <v>767</v>
      </c>
      <c r="N138" s="210"/>
    </row>
    <row r="139" spans="2:14" ht="15.75">
      <c r="B139" s="24" t="s">
        <v>325</v>
      </c>
      <c r="C139" s="121" t="s">
        <v>13</v>
      </c>
      <c r="D139" s="102">
        <v>6</v>
      </c>
      <c r="E139" s="30"/>
      <c r="F139" s="211">
        <v>885</v>
      </c>
      <c r="G139" s="112">
        <f t="shared" si="11"/>
        <v>0</v>
      </c>
      <c r="H139" s="211">
        <v>750</v>
      </c>
      <c r="I139" s="211">
        <f t="shared" si="10"/>
        <v>135</v>
      </c>
      <c r="J139" s="268">
        <f t="shared" si="12"/>
        <v>885</v>
      </c>
      <c r="K139" s="97">
        <v>5</v>
      </c>
      <c r="L139" s="257">
        <v>885</v>
      </c>
      <c r="M139" s="209">
        <v>4425</v>
      </c>
      <c r="N139" s="210"/>
    </row>
    <row r="140" spans="2:14" ht="15.75">
      <c r="B140" s="24" t="s">
        <v>326</v>
      </c>
      <c r="C140" s="121" t="s">
        <v>13</v>
      </c>
      <c r="D140" s="102">
        <v>5</v>
      </c>
      <c r="E140" s="10"/>
      <c r="F140" s="25">
        <v>106.2</v>
      </c>
      <c r="G140" s="112">
        <f t="shared" si="11"/>
        <v>0</v>
      </c>
      <c r="H140" s="25">
        <v>90</v>
      </c>
      <c r="I140" s="25">
        <f t="shared" si="10"/>
        <v>16.2</v>
      </c>
      <c r="J140" s="193">
        <f t="shared" si="12"/>
        <v>106.2</v>
      </c>
      <c r="K140" s="97">
        <v>5</v>
      </c>
      <c r="L140" s="257">
        <v>106.2</v>
      </c>
      <c r="M140" s="209">
        <v>531</v>
      </c>
      <c r="N140" s="210"/>
    </row>
    <row r="141" spans="2:14" ht="15.75">
      <c r="B141" s="24" t="s">
        <v>354</v>
      </c>
      <c r="C141" s="121" t="s">
        <v>13</v>
      </c>
      <c r="D141" s="102">
        <v>31</v>
      </c>
      <c r="E141" s="10"/>
      <c r="F141" s="25">
        <v>424.8</v>
      </c>
      <c r="G141" s="112">
        <f t="shared" si="11"/>
        <v>0</v>
      </c>
      <c r="H141" s="25">
        <v>211.34</v>
      </c>
      <c r="I141" s="25">
        <f t="shared" si="10"/>
        <v>38.041199999999996</v>
      </c>
      <c r="J141" s="193">
        <f t="shared" si="12"/>
        <v>249.38120000000001</v>
      </c>
      <c r="K141" s="97">
        <v>22</v>
      </c>
      <c r="L141" s="257">
        <v>424.8</v>
      </c>
      <c r="M141" s="209">
        <v>9345.6</v>
      </c>
      <c r="N141" s="210"/>
    </row>
    <row r="142" spans="2:14" ht="15.75">
      <c r="B142" s="24" t="s">
        <v>327</v>
      </c>
      <c r="C142" s="121" t="s">
        <v>13</v>
      </c>
      <c r="D142" s="102">
        <v>175</v>
      </c>
      <c r="E142" s="10"/>
      <c r="F142" s="25">
        <v>100.3</v>
      </c>
      <c r="G142" s="112">
        <f t="shared" si="11"/>
        <v>0</v>
      </c>
      <c r="H142" s="25">
        <v>95.49</v>
      </c>
      <c r="I142" s="25">
        <f t="shared" si="10"/>
        <v>17.188199999999998</v>
      </c>
      <c r="J142" s="193">
        <f t="shared" si="12"/>
        <v>112.67819999999999</v>
      </c>
      <c r="K142" s="97">
        <v>158</v>
      </c>
      <c r="L142" s="257">
        <v>100.3</v>
      </c>
      <c r="M142" s="209">
        <v>15847.4</v>
      </c>
      <c r="N142" s="210"/>
    </row>
    <row r="143" spans="2:14" ht="15.75">
      <c r="B143" s="24" t="s">
        <v>125</v>
      </c>
      <c r="C143" s="121" t="s">
        <v>13</v>
      </c>
      <c r="D143" s="102">
        <v>14</v>
      </c>
      <c r="E143" s="10"/>
      <c r="F143" s="25">
        <v>332.03</v>
      </c>
      <c r="G143" s="112">
        <f t="shared" si="11"/>
        <v>0</v>
      </c>
      <c r="H143" s="25">
        <v>281.38</v>
      </c>
      <c r="I143" s="25">
        <f t="shared" si="10"/>
        <v>50.648399999999995</v>
      </c>
      <c r="J143" s="193">
        <f t="shared" si="12"/>
        <v>332.02839999999998</v>
      </c>
      <c r="K143" s="97">
        <v>20</v>
      </c>
      <c r="L143" s="257">
        <v>304.44</v>
      </c>
      <c r="M143" s="209">
        <v>6088.8</v>
      </c>
      <c r="N143" s="210"/>
    </row>
    <row r="144" spans="2:14" ht="15.75">
      <c r="B144" s="24" t="s">
        <v>179</v>
      </c>
      <c r="C144" s="121" t="s">
        <v>13</v>
      </c>
      <c r="D144" s="102">
        <v>20</v>
      </c>
      <c r="E144" s="10"/>
      <c r="F144" s="25">
        <v>1109.2</v>
      </c>
      <c r="G144" s="112">
        <f t="shared" si="11"/>
        <v>0</v>
      </c>
      <c r="H144" s="25"/>
      <c r="I144" s="25"/>
      <c r="J144" s="193"/>
      <c r="K144" s="97">
        <v>16</v>
      </c>
      <c r="L144" s="257">
        <v>1109.2</v>
      </c>
      <c r="M144" s="209">
        <v>17747.2</v>
      </c>
      <c r="N144" s="210"/>
    </row>
    <row r="145" spans="2:14" ht="15.75">
      <c r="B145" s="24" t="s">
        <v>328</v>
      </c>
      <c r="C145" s="121" t="s">
        <v>13</v>
      </c>
      <c r="D145" s="102"/>
      <c r="E145" s="235">
        <v>30</v>
      </c>
      <c r="F145" s="25">
        <v>127.735</v>
      </c>
      <c r="G145" s="112">
        <f>F145*E145</f>
        <v>3832.05</v>
      </c>
      <c r="H145" s="25"/>
      <c r="I145" s="25"/>
      <c r="J145" s="193"/>
      <c r="K145" s="97">
        <v>36</v>
      </c>
      <c r="L145" s="257">
        <v>127.75700000000001</v>
      </c>
      <c r="M145" s="209">
        <v>4599.2520000000004</v>
      </c>
      <c r="N145" s="210"/>
    </row>
    <row r="146" spans="2:14" ht="15.75">
      <c r="B146" s="24" t="s">
        <v>180</v>
      </c>
      <c r="C146" s="121" t="s">
        <v>13</v>
      </c>
      <c r="D146" s="102">
        <v>15</v>
      </c>
      <c r="E146" s="10"/>
      <c r="F146" s="25">
        <v>531</v>
      </c>
      <c r="G146" s="112">
        <f t="shared" si="11"/>
        <v>0</v>
      </c>
      <c r="H146" s="25"/>
      <c r="I146" s="25"/>
      <c r="J146" s="193"/>
      <c r="K146" s="97">
        <v>15</v>
      </c>
      <c r="L146" s="257">
        <v>531</v>
      </c>
      <c r="M146" s="209">
        <v>7965</v>
      </c>
      <c r="N146" s="210"/>
    </row>
    <row r="147" spans="2:14" ht="15.75">
      <c r="B147" s="64" t="s">
        <v>329</v>
      </c>
      <c r="C147" s="221" t="s">
        <v>31</v>
      </c>
      <c r="D147" s="102">
        <v>8</v>
      </c>
      <c r="E147" s="15"/>
      <c r="F147" s="112">
        <v>269.04000000000002</v>
      </c>
      <c r="G147" s="112">
        <f t="shared" si="11"/>
        <v>0</v>
      </c>
      <c r="H147" s="112">
        <v>228</v>
      </c>
      <c r="I147" s="112">
        <f t="shared" ref="I147:I153" si="13">H147*18%</f>
        <v>41.04</v>
      </c>
      <c r="J147" s="269">
        <f t="shared" si="12"/>
        <v>269.04000000000002</v>
      </c>
      <c r="K147" s="97">
        <v>7</v>
      </c>
      <c r="L147" s="258">
        <v>269.04000000000002</v>
      </c>
      <c r="M147" s="209">
        <v>1883.2800000000002</v>
      </c>
      <c r="N147" s="210"/>
    </row>
    <row r="148" spans="2:14" ht="15.75">
      <c r="B148" s="64" t="s">
        <v>330</v>
      </c>
      <c r="C148" s="221" t="s">
        <v>31</v>
      </c>
      <c r="D148" s="102">
        <v>2</v>
      </c>
      <c r="E148" s="15"/>
      <c r="F148" s="112">
        <v>269.04000000000002</v>
      </c>
      <c r="G148" s="112">
        <f t="shared" si="11"/>
        <v>0</v>
      </c>
      <c r="H148" s="112">
        <v>228</v>
      </c>
      <c r="I148" s="112">
        <f t="shared" si="13"/>
        <v>41.04</v>
      </c>
      <c r="J148" s="269">
        <f t="shared" si="12"/>
        <v>269.04000000000002</v>
      </c>
      <c r="K148" s="97">
        <v>2</v>
      </c>
      <c r="L148" s="258">
        <v>269.04000000000002</v>
      </c>
      <c r="M148" s="209">
        <v>538.08000000000004</v>
      </c>
      <c r="N148" s="210"/>
    </row>
    <row r="149" spans="2:14" ht="15.75">
      <c r="B149" s="64" t="s">
        <v>331</v>
      </c>
      <c r="C149" s="221" t="s">
        <v>31</v>
      </c>
      <c r="D149" s="102">
        <v>37</v>
      </c>
      <c r="E149" s="15"/>
      <c r="F149" s="112">
        <v>269.04000000000002</v>
      </c>
      <c r="G149" s="112">
        <f t="shared" si="11"/>
        <v>0</v>
      </c>
      <c r="H149" s="112">
        <v>228</v>
      </c>
      <c r="I149" s="112">
        <f t="shared" si="13"/>
        <v>41.04</v>
      </c>
      <c r="J149" s="269">
        <f t="shared" si="12"/>
        <v>269.04000000000002</v>
      </c>
      <c r="K149" s="97">
        <v>34</v>
      </c>
      <c r="L149" s="258">
        <v>269.04000000000002</v>
      </c>
      <c r="M149" s="209">
        <v>9147.36</v>
      </c>
      <c r="N149" s="210"/>
    </row>
    <row r="150" spans="2:14" ht="15.75">
      <c r="B150" s="64" t="s">
        <v>332</v>
      </c>
      <c r="C150" s="221" t="s">
        <v>31</v>
      </c>
      <c r="D150" s="102">
        <v>1</v>
      </c>
      <c r="E150" s="15"/>
      <c r="F150" s="112">
        <v>269.04000000000002</v>
      </c>
      <c r="G150" s="112">
        <f t="shared" si="11"/>
        <v>0</v>
      </c>
      <c r="H150" s="112">
        <v>228</v>
      </c>
      <c r="I150" s="112">
        <f t="shared" si="13"/>
        <v>41.04</v>
      </c>
      <c r="J150" s="269">
        <f t="shared" si="12"/>
        <v>269.04000000000002</v>
      </c>
      <c r="K150" s="97">
        <v>7</v>
      </c>
      <c r="L150" s="258">
        <v>269.04000000000002</v>
      </c>
      <c r="M150" s="209">
        <v>1883.2800000000002</v>
      </c>
      <c r="N150" s="210"/>
    </row>
    <row r="151" spans="2:14" ht="15.75">
      <c r="B151" s="64" t="s">
        <v>333</v>
      </c>
      <c r="C151" s="221" t="s">
        <v>31</v>
      </c>
      <c r="D151" s="102">
        <v>28</v>
      </c>
      <c r="E151" s="15"/>
      <c r="F151" s="112">
        <v>269.04000000000002</v>
      </c>
      <c r="G151" s="112">
        <f t="shared" si="11"/>
        <v>0</v>
      </c>
      <c r="H151" s="112">
        <v>228</v>
      </c>
      <c r="I151" s="112">
        <f t="shared" si="13"/>
        <v>41.04</v>
      </c>
      <c r="J151" s="269">
        <f t="shared" si="12"/>
        <v>269.04000000000002</v>
      </c>
      <c r="K151" s="97">
        <v>18</v>
      </c>
      <c r="L151" s="258">
        <v>269.04000000000002</v>
      </c>
      <c r="M151" s="209">
        <v>4842.72</v>
      </c>
      <c r="N151" s="210"/>
    </row>
    <row r="152" spans="2:14" ht="15.75">
      <c r="B152" s="64" t="s">
        <v>334</v>
      </c>
      <c r="C152" s="213" t="s">
        <v>13</v>
      </c>
      <c r="D152" s="102">
        <v>3</v>
      </c>
      <c r="E152" s="15"/>
      <c r="F152" s="246">
        <v>613.6</v>
      </c>
      <c r="G152" s="112">
        <f t="shared" si="11"/>
        <v>0</v>
      </c>
      <c r="H152" s="112">
        <v>520</v>
      </c>
      <c r="I152" s="112">
        <f t="shared" si="13"/>
        <v>93.6</v>
      </c>
      <c r="J152" s="269">
        <f t="shared" si="12"/>
        <v>613.6</v>
      </c>
      <c r="K152" s="97">
        <v>27</v>
      </c>
      <c r="L152" s="258">
        <v>767</v>
      </c>
      <c r="M152" s="209">
        <v>20709</v>
      </c>
      <c r="N152" s="210"/>
    </row>
    <row r="153" spans="2:14" ht="15.75">
      <c r="B153" s="64" t="s">
        <v>335</v>
      </c>
      <c r="C153" s="221" t="s">
        <v>31</v>
      </c>
      <c r="D153" s="102">
        <v>7</v>
      </c>
      <c r="E153" s="15"/>
      <c r="F153" s="112">
        <v>269.04000000000002</v>
      </c>
      <c r="G153" s="112">
        <f t="shared" si="11"/>
        <v>0</v>
      </c>
      <c r="H153" s="112">
        <v>228</v>
      </c>
      <c r="I153" s="112">
        <f t="shared" si="13"/>
        <v>41.04</v>
      </c>
      <c r="J153" s="269">
        <f t="shared" si="12"/>
        <v>269.04000000000002</v>
      </c>
      <c r="K153" s="97">
        <v>5</v>
      </c>
      <c r="L153" s="258">
        <v>269.04000000000002</v>
      </c>
      <c r="M153" s="209">
        <v>1345.2</v>
      </c>
      <c r="N153" s="210"/>
    </row>
    <row r="154" spans="2:14" ht="15.75">
      <c r="B154" s="64" t="s">
        <v>336</v>
      </c>
      <c r="C154" s="221" t="s">
        <v>31</v>
      </c>
      <c r="D154" s="102">
        <v>7</v>
      </c>
      <c r="E154" s="15"/>
      <c r="F154" s="112">
        <v>269.04000000000002</v>
      </c>
      <c r="G154" s="112">
        <f t="shared" si="11"/>
        <v>0</v>
      </c>
      <c r="H154" s="112">
        <v>228</v>
      </c>
      <c r="I154" s="112">
        <f>H154*18%</f>
        <v>41.04</v>
      </c>
      <c r="J154" s="269">
        <f t="shared" si="12"/>
        <v>269.04000000000002</v>
      </c>
      <c r="K154" s="97">
        <v>7</v>
      </c>
      <c r="L154" s="258">
        <v>269.04000000000002</v>
      </c>
      <c r="M154" s="209">
        <v>1883.2800000000002</v>
      </c>
      <c r="N154" s="210"/>
    </row>
    <row r="155" spans="2:14" ht="15.75">
      <c r="B155" s="64" t="s">
        <v>337</v>
      </c>
      <c r="C155" s="221" t="s">
        <v>31</v>
      </c>
      <c r="D155" s="102">
        <v>11</v>
      </c>
      <c r="E155" s="15"/>
      <c r="F155" s="246">
        <v>269</v>
      </c>
      <c r="G155" s="112">
        <f t="shared" si="11"/>
        <v>0</v>
      </c>
      <c r="H155" s="112">
        <v>228</v>
      </c>
      <c r="I155" s="112">
        <f>H155*18%</f>
        <v>41.04</v>
      </c>
      <c r="J155" s="269">
        <f t="shared" si="12"/>
        <v>269.04000000000002</v>
      </c>
      <c r="K155" s="97">
        <v>7</v>
      </c>
      <c r="L155" s="258">
        <v>269</v>
      </c>
      <c r="M155" s="209">
        <v>1883</v>
      </c>
      <c r="N155" s="210"/>
    </row>
    <row r="156" spans="2:14" ht="15.75">
      <c r="B156" s="64" t="s">
        <v>338</v>
      </c>
      <c r="C156" s="221" t="s">
        <v>31</v>
      </c>
      <c r="D156" s="102"/>
      <c r="E156" s="242">
        <v>35</v>
      </c>
      <c r="F156" s="246">
        <v>649</v>
      </c>
      <c r="G156" s="112">
        <f t="shared" si="11"/>
        <v>22715</v>
      </c>
      <c r="H156" s="112"/>
      <c r="I156" s="112"/>
      <c r="J156" s="269"/>
      <c r="K156" s="97">
        <v>35</v>
      </c>
      <c r="L156" s="258">
        <v>649</v>
      </c>
      <c r="M156" s="209">
        <v>22715</v>
      </c>
      <c r="N156" s="210"/>
    </row>
    <row r="157" spans="2:14" ht="15.75">
      <c r="B157" s="24" t="s">
        <v>133</v>
      </c>
      <c r="C157" s="121" t="s">
        <v>13</v>
      </c>
      <c r="D157" s="102">
        <v>36</v>
      </c>
      <c r="E157" s="10"/>
      <c r="F157" s="25">
        <v>269.04000000000002</v>
      </c>
      <c r="G157" s="112">
        <f t="shared" si="11"/>
        <v>0</v>
      </c>
      <c r="H157" s="25">
        <v>72.25</v>
      </c>
      <c r="I157" s="25">
        <f>+H157*18%</f>
        <v>13.004999999999999</v>
      </c>
      <c r="J157" s="193">
        <f t="shared" si="12"/>
        <v>85.254999999999995</v>
      </c>
      <c r="K157" s="97">
        <v>24</v>
      </c>
      <c r="L157" s="257">
        <v>269.04000000000002</v>
      </c>
      <c r="M157" s="209">
        <v>6456.9600000000009</v>
      </c>
      <c r="N157" s="210"/>
    </row>
    <row r="158" spans="2:14" ht="15.75">
      <c r="B158" s="24" t="s">
        <v>339</v>
      </c>
      <c r="C158" s="121" t="s">
        <v>13</v>
      </c>
      <c r="D158" s="102">
        <v>36</v>
      </c>
      <c r="E158" s="10"/>
      <c r="F158" s="25">
        <v>92.04</v>
      </c>
      <c r="G158" s="112">
        <f t="shared" si="11"/>
        <v>0</v>
      </c>
      <c r="H158" s="25">
        <v>61.7</v>
      </c>
      <c r="I158" s="25">
        <f>+H158*18%</f>
        <v>11.106</v>
      </c>
      <c r="J158" s="193">
        <f t="shared" si="12"/>
        <v>72.805999999999997</v>
      </c>
      <c r="K158" s="97">
        <v>36</v>
      </c>
      <c r="L158" s="257">
        <v>92.04</v>
      </c>
      <c r="M158" s="209">
        <v>3313.44</v>
      </c>
      <c r="N158" s="210"/>
    </row>
    <row r="159" spans="2:14" ht="15.75">
      <c r="B159" s="24" t="s">
        <v>340</v>
      </c>
      <c r="C159" s="121" t="s">
        <v>13</v>
      </c>
      <c r="D159" s="102">
        <v>3</v>
      </c>
      <c r="E159" s="10"/>
      <c r="F159" s="25">
        <v>72.81</v>
      </c>
      <c r="G159" s="112">
        <f t="shared" si="11"/>
        <v>0</v>
      </c>
      <c r="H159" s="25">
        <v>61.7</v>
      </c>
      <c r="I159" s="25">
        <f>+H159*18%</f>
        <v>11.106</v>
      </c>
      <c r="J159" s="193">
        <f t="shared" si="12"/>
        <v>72.805999999999997</v>
      </c>
      <c r="K159" s="97">
        <v>3</v>
      </c>
      <c r="L159" s="257">
        <v>72.81</v>
      </c>
      <c r="M159" s="209">
        <v>218.43</v>
      </c>
      <c r="N159" s="210"/>
    </row>
    <row r="160" spans="2:14" ht="15.75">
      <c r="B160" s="24" t="s">
        <v>341</v>
      </c>
      <c r="C160" s="121" t="s">
        <v>13</v>
      </c>
      <c r="D160" s="102">
        <v>107</v>
      </c>
      <c r="E160" s="10"/>
      <c r="F160" s="25">
        <v>112.1</v>
      </c>
      <c r="G160" s="112">
        <f t="shared" si="11"/>
        <v>0</v>
      </c>
      <c r="H160" s="25">
        <v>120</v>
      </c>
      <c r="I160" s="25">
        <f>+H160*18%</f>
        <v>21.599999999999998</v>
      </c>
      <c r="J160" s="193">
        <f t="shared" si="12"/>
        <v>141.6</v>
      </c>
      <c r="K160" s="97">
        <v>95</v>
      </c>
      <c r="L160" s="257">
        <v>112.1</v>
      </c>
      <c r="M160" s="209">
        <v>10649.5</v>
      </c>
      <c r="N160" s="210"/>
    </row>
    <row r="161" spans="2:18" ht="15.75">
      <c r="B161" s="64" t="s">
        <v>342</v>
      </c>
      <c r="C161" s="221" t="s">
        <v>29</v>
      </c>
      <c r="D161" s="102">
        <v>200</v>
      </c>
      <c r="E161" s="15"/>
      <c r="F161" s="112">
        <v>73.16</v>
      </c>
      <c r="G161" s="112">
        <f t="shared" si="11"/>
        <v>0</v>
      </c>
      <c r="H161" s="112">
        <v>3100</v>
      </c>
      <c r="I161" s="112">
        <f>H161*18%</f>
        <v>558</v>
      </c>
      <c r="J161" s="269">
        <f t="shared" si="12"/>
        <v>3658</v>
      </c>
      <c r="K161" s="97">
        <v>2</v>
      </c>
      <c r="L161" s="258">
        <v>73.16</v>
      </c>
      <c r="M161" s="209">
        <v>146.32</v>
      </c>
      <c r="N161" s="210"/>
      <c r="O161" s="95"/>
    </row>
    <row r="162" spans="2:18" ht="15.75">
      <c r="B162" s="64" t="s">
        <v>343</v>
      </c>
      <c r="C162" s="221" t="s">
        <v>246</v>
      </c>
      <c r="D162" s="102">
        <v>290</v>
      </c>
      <c r="E162" s="15"/>
      <c r="F162" s="112">
        <v>73.16</v>
      </c>
      <c r="G162" s="112">
        <f t="shared" si="11"/>
        <v>0</v>
      </c>
      <c r="H162" s="112">
        <v>3100</v>
      </c>
      <c r="I162" s="112">
        <f>H162*18%</f>
        <v>558</v>
      </c>
      <c r="J162" s="269">
        <f t="shared" si="12"/>
        <v>3658</v>
      </c>
      <c r="K162" s="97">
        <v>9</v>
      </c>
      <c r="L162" s="258">
        <v>73.16</v>
      </c>
      <c r="M162" s="209">
        <v>658.43999999999994</v>
      </c>
      <c r="N162" s="210"/>
    </row>
    <row r="163" spans="2:18" ht="15.75">
      <c r="B163" s="24" t="s">
        <v>139</v>
      </c>
      <c r="C163" s="121" t="s">
        <v>13</v>
      </c>
      <c r="D163" s="102">
        <v>15</v>
      </c>
      <c r="E163" s="10"/>
      <c r="F163" s="211">
        <v>324.5</v>
      </c>
      <c r="G163" s="112">
        <f t="shared" si="11"/>
        <v>0</v>
      </c>
      <c r="H163" s="211">
        <v>275</v>
      </c>
      <c r="I163" s="211">
        <f>+H163*18%</f>
        <v>49.5</v>
      </c>
      <c r="J163" s="268">
        <f t="shared" si="12"/>
        <v>324.5</v>
      </c>
      <c r="K163" s="97">
        <v>16</v>
      </c>
      <c r="L163" s="257">
        <v>324.5</v>
      </c>
      <c r="M163" s="209">
        <v>5192</v>
      </c>
      <c r="N163" s="210"/>
    </row>
    <row r="164" spans="2:18" ht="15.75">
      <c r="B164" s="24" t="s">
        <v>344</v>
      </c>
      <c r="C164" s="121" t="s">
        <v>13</v>
      </c>
      <c r="D164" s="102">
        <v>3</v>
      </c>
      <c r="E164" s="39"/>
      <c r="F164" s="211">
        <v>2076.8000000000002</v>
      </c>
      <c r="G164" s="112">
        <f t="shared" si="11"/>
        <v>0</v>
      </c>
      <c r="H164" s="215">
        <v>1760</v>
      </c>
      <c r="I164" s="211">
        <f>+H164*18%</f>
        <v>316.8</v>
      </c>
      <c r="J164" s="268">
        <f t="shared" si="12"/>
        <v>2076.8000000000002</v>
      </c>
      <c r="K164" s="97">
        <v>2</v>
      </c>
      <c r="L164" s="257">
        <v>2076.8000000000002</v>
      </c>
      <c r="M164" s="209">
        <v>4153.6000000000004</v>
      </c>
      <c r="N164" s="210"/>
    </row>
    <row r="165" spans="2:18" ht="16.5" thickBot="1">
      <c r="B165" s="70" t="s">
        <v>140</v>
      </c>
      <c r="C165" s="122" t="s">
        <v>13</v>
      </c>
      <c r="D165" s="202">
        <v>2</v>
      </c>
      <c r="E165" s="39"/>
      <c r="F165" s="215">
        <v>295</v>
      </c>
      <c r="G165" s="112">
        <f t="shared" si="11"/>
        <v>0</v>
      </c>
      <c r="H165" s="215">
        <v>250</v>
      </c>
      <c r="I165" s="215">
        <f>+H165*18%</f>
        <v>45</v>
      </c>
      <c r="J165" s="270">
        <f t="shared" si="12"/>
        <v>295</v>
      </c>
      <c r="K165" s="97">
        <v>2</v>
      </c>
      <c r="L165" s="259">
        <v>295</v>
      </c>
      <c r="M165" s="209">
        <v>590</v>
      </c>
      <c r="N165" s="218"/>
      <c r="O165" s="95"/>
    </row>
    <row r="166" spans="2:18" ht="18.75" thickBot="1">
      <c r="B166" s="203"/>
      <c r="C166" s="204"/>
      <c r="D166" s="205"/>
      <c r="E166" s="206"/>
      <c r="F166" s="206"/>
      <c r="G166" s="240">
        <f>SUM(G8:G165)</f>
        <v>96026.860799999995</v>
      </c>
      <c r="H166" s="205"/>
      <c r="I166" s="205"/>
      <c r="J166" s="205"/>
      <c r="K166" s="234"/>
      <c r="L166" s="207"/>
      <c r="M166" s="201">
        <f>SUM(M7:M165)</f>
        <v>1297304.9410000003</v>
      </c>
    </row>
    <row r="170" spans="2:18" s="223" customFormat="1">
      <c r="E170" s="224"/>
      <c r="F170" s="224"/>
      <c r="G170" s="224"/>
      <c r="H170" s="224"/>
      <c r="I170" s="224"/>
      <c r="J170" s="224"/>
      <c r="K170" s="224"/>
      <c r="L170" s="224"/>
      <c r="M170" s="224"/>
      <c r="N170" s="224"/>
      <c r="O170" s="225"/>
      <c r="R170" s="225"/>
    </row>
    <row r="171" spans="2:18" s="223" customFormat="1">
      <c r="E171" s="224"/>
      <c r="F171" s="224"/>
      <c r="G171" s="224"/>
      <c r="H171" s="224"/>
      <c r="I171" s="224"/>
      <c r="J171" s="224"/>
      <c r="K171" s="224"/>
      <c r="L171" s="224"/>
      <c r="M171" s="224"/>
      <c r="N171" s="224"/>
      <c r="O171" s="225"/>
      <c r="R171" s="225"/>
    </row>
    <row r="172" spans="2:18" s="223" customFormat="1">
      <c r="E172" s="224"/>
      <c r="F172" s="224"/>
      <c r="G172" s="224"/>
      <c r="H172" s="224"/>
      <c r="I172" s="224"/>
      <c r="J172" s="224"/>
      <c r="K172" s="224"/>
      <c r="L172" s="54"/>
      <c r="M172" s="224"/>
      <c r="N172" s="224"/>
      <c r="O172" s="225"/>
      <c r="R172" s="225"/>
    </row>
  </sheetData>
  <autoFilter ref="B6:J165" xr:uid="{135215E3-B083-4FE3-99AE-98C0BE5E73D0}"/>
  <sortState xmlns:xlrd2="http://schemas.microsoft.com/office/spreadsheetml/2017/richdata2" ref="B7:M165">
    <sortCondition ref="B7:B165"/>
  </sortState>
  <phoneticPr fontId="11" type="noConversion"/>
  <pageMargins left="0.7" right="0.7" top="0.75" bottom="0.75" header="0.3" footer="0.3"/>
  <pageSetup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ED70-27E2-406A-9D42-8D40A357237B}">
  <dimension ref="A3:P152"/>
  <sheetViews>
    <sheetView topLeftCell="A2" workbookViewId="0">
      <pane ySplit="5" topLeftCell="A138" activePane="bottomLeft" state="frozen"/>
      <selection activeCell="A2" sqref="A2"/>
      <selection pane="bottomLeft" activeCell="N149" sqref="N149"/>
    </sheetView>
  </sheetViews>
  <sheetFormatPr baseColWidth="10" defaultRowHeight="18"/>
  <cols>
    <col min="1" max="1" width="46.42578125" style="13" customWidth="1"/>
    <col min="2" max="2" width="12.7109375" style="13" customWidth="1"/>
    <col min="3" max="4" width="9.42578125" style="54" bestFit="1" customWidth="1"/>
    <col min="5" max="5" width="10.85546875" style="54" bestFit="1" customWidth="1"/>
    <col min="6" max="6" width="19.5703125" style="118" hidden="1" customWidth="1"/>
    <col min="7" max="7" width="15.85546875" style="118" hidden="1" customWidth="1"/>
    <col min="8" max="8" width="12.7109375" style="54" hidden="1" customWidth="1"/>
    <col min="9" max="9" width="15.85546875" style="54" hidden="1" customWidth="1"/>
    <col min="10" max="10" width="12.7109375" style="54" hidden="1" customWidth="1"/>
    <col min="11" max="11" width="14.140625" style="54" customWidth="1"/>
    <col min="12" max="12" width="11.5703125" style="54" bestFit="1" customWidth="1"/>
    <col min="13" max="13" width="9.5703125" style="54" bestFit="1" customWidth="1"/>
    <col min="14" max="14" width="15.140625" style="54" bestFit="1" customWidth="1"/>
  </cols>
  <sheetData>
    <row r="3" spans="1:16" ht="15">
      <c r="A3"/>
      <c r="B3"/>
      <c r="C3"/>
      <c r="D3"/>
      <c r="E3"/>
      <c r="F3" s="110"/>
      <c r="G3" s="110"/>
      <c r="H3"/>
      <c r="I3"/>
      <c r="J3"/>
      <c r="K3"/>
      <c r="L3"/>
      <c r="M3"/>
      <c r="N3"/>
    </row>
    <row r="4" spans="1:16" ht="15">
      <c r="A4" s="226" t="s">
        <v>233</v>
      </c>
      <c r="B4"/>
      <c r="C4"/>
      <c r="D4"/>
      <c r="E4"/>
      <c r="F4" s="110"/>
      <c r="G4" s="110"/>
      <c r="H4"/>
      <c r="I4"/>
      <c r="J4"/>
      <c r="K4"/>
      <c r="L4"/>
      <c r="M4"/>
      <c r="N4"/>
    </row>
    <row r="5" spans="1:16" ht="15.75" thickBot="1">
      <c r="A5" s="226" t="s">
        <v>234</v>
      </c>
      <c r="B5"/>
      <c r="C5"/>
      <c r="D5"/>
      <c r="E5"/>
      <c r="F5" s="110"/>
      <c r="G5" s="110"/>
      <c r="H5"/>
      <c r="I5"/>
      <c r="J5"/>
      <c r="K5"/>
      <c r="L5"/>
      <c r="M5"/>
      <c r="N5"/>
    </row>
    <row r="6" spans="1:16" ht="48" thickBot="1">
      <c r="A6" s="194" t="s">
        <v>0</v>
      </c>
      <c r="B6" s="195" t="s">
        <v>1</v>
      </c>
      <c r="C6" s="196" t="s">
        <v>188</v>
      </c>
      <c r="D6" s="196" t="s">
        <v>171</v>
      </c>
      <c r="E6" s="196" t="s">
        <v>235</v>
      </c>
      <c r="F6" s="197" t="s">
        <v>172</v>
      </c>
      <c r="G6" s="197" t="s">
        <v>189</v>
      </c>
      <c r="H6" s="196" t="s">
        <v>3</v>
      </c>
      <c r="I6" s="198" t="s">
        <v>4</v>
      </c>
      <c r="J6" s="199" t="s">
        <v>5</v>
      </c>
      <c r="K6" s="195" t="s">
        <v>190</v>
      </c>
      <c r="L6" s="196" t="s">
        <v>236</v>
      </c>
      <c r="M6" s="195" t="s">
        <v>172</v>
      </c>
      <c r="N6" s="196" t="s">
        <v>6</v>
      </c>
      <c r="O6" s="232" t="s">
        <v>228</v>
      </c>
      <c r="P6" s="232" t="s">
        <v>238</v>
      </c>
    </row>
    <row r="7" spans="1:16" ht="15.75">
      <c r="A7" s="18" t="s">
        <v>10</v>
      </c>
      <c r="B7" s="208" t="s">
        <v>11</v>
      </c>
      <c r="C7" s="15">
        <v>41</v>
      </c>
      <c r="D7" s="15"/>
      <c r="E7" s="15">
        <f>C7+D7</f>
        <v>41</v>
      </c>
      <c r="F7" s="112"/>
      <c r="G7" s="112"/>
      <c r="H7" s="112">
        <v>150</v>
      </c>
      <c r="I7" s="209">
        <f>H7*18%</f>
        <v>27</v>
      </c>
      <c r="J7" s="209">
        <f t="shared" ref="J7:J16" si="0">I7+H7</f>
        <v>177</v>
      </c>
      <c r="K7" s="15">
        <v>33</v>
      </c>
      <c r="L7" s="19">
        <f>E7-K7</f>
        <v>8</v>
      </c>
      <c r="M7" s="209">
        <f>J7</f>
        <v>177</v>
      </c>
      <c r="N7" s="209">
        <f>K7*M7</f>
        <v>5841</v>
      </c>
      <c r="O7">
        <v>8</v>
      </c>
    </row>
    <row r="8" spans="1:16" ht="15.75">
      <c r="A8" s="24" t="s">
        <v>8</v>
      </c>
      <c r="B8" s="121" t="s">
        <v>9</v>
      </c>
      <c r="C8" s="10">
        <v>6</v>
      </c>
      <c r="D8" s="10"/>
      <c r="E8" s="15">
        <f t="shared" ref="E8:E64" si="1">C8+D8</f>
        <v>6</v>
      </c>
      <c r="F8" s="25"/>
      <c r="G8" s="25"/>
      <c r="H8" s="211">
        <v>700</v>
      </c>
      <c r="I8" s="212">
        <f>+H8*18%</f>
        <v>126</v>
      </c>
      <c r="J8" s="212">
        <f t="shared" si="0"/>
        <v>826</v>
      </c>
      <c r="K8" s="10">
        <v>6</v>
      </c>
      <c r="L8" s="19">
        <f t="shared" ref="L8:L64" si="2">E8-K8</f>
        <v>0</v>
      </c>
      <c r="M8" s="212">
        <v>826</v>
      </c>
      <c r="N8" s="209">
        <f t="shared" ref="N8:N65" si="3">K8*M8</f>
        <v>4956</v>
      </c>
    </row>
    <row r="9" spans="1:16" ht="15.75">
      <c r="A9" s="123" t="s">
        <v>181</v>
      </c>
      <c r="B9" s="139" t="s">
        <v>13</v>
      </c>
      <c r="C9" s="10"/>
      <c r="D9" s="10">
        <v>20</v>
      </c>
      <c r="E9" s="15">
        <f t="shared" si="1"/>
        <v>20</v>
      </c>
      <c r="F9" s="25">
        <f>17110/D9</f>
        <v>855.5</v>
      </c>
      <c r="G9" s="25">
        <f>D9*F9</f>
        <v>17110</v>
      </c>
      <c r="H9" s="211"/>
      <c r="I9" s="212"/>
      <c r="J9" s="212"/>
      <c r="K9" s="102">
        <v>20</v>
      </c>
      <c r="L9" s="19">
        <f t="shared" si="2"/>
        <v>0</v>
      </c>
      <c r="M9" s="212">
        <v>855.5</v>
      </c>
      <c r="N9" s="209">
        <f t="shared" si="3"/>
        <v>17110</v>
      </c>
    </row>
    <row r="10" spans="1:16" ht="15.75">
      <c r="A10" s="64" t="s">
        <v>15</v>
      </c>
      <c r="B10" s="213" t="s">
        <v>13</v>
      </c>
      <c r="C10" s="15">
        <v>17</v>
      </c>
      <c r="D10" s="15"/>
      <c r="E10" s="15">
        <f t="shared" si="1"/>
        <v>17</v>
      </c>
      <c r="F10" s="112"/>
      <c r="G10" s="25">
        <f t="shared" ref="G10:G67" si="4">D10*F10</f>
        <v>0</v>
      </c>
      <c r="H10" s="112">
        <v>265</v>
      </c>
      <c r="I10" s="209">
        <f>H10*18%</f>
        <v>47.699999999999996</v>
      </c>
      <c r="J10" s="209">
        <f t="shared" si="0"/>
        <v>312.7</v>
      </c>
      <c r="K10" s="102">
        <v>9</v>
      </c>
      <c r="L10" s="19">
        <f t="shared" si="2"/>
        <v>8</v>
      </c>
      <c r="M10" s="209">
        <v>312.7</v>
      </c>
      <c r="N10" s="209">
        <f t="shared" si="3"/>
        <v>2814.2999999999997</v>
      </c>
      <c r="O10">
        <v>8</v>
      </c>
    </row>
    <row r="11" spans="1:16" ht="15.75">
      <c r="A11" s="24" t="s">
        <v>196</v>
      </c>
      <c r="B11" s="121" t="s">
        <v>13</v>
      </c>
      <c r="C11" s="10">
        <v>20</v>
      </c>
      <c r="D11" s="10"/>
      <c r="E11" s="15">
        <f t="shared" si="1"/>
        <v>20</v>
      </c>
      <c r="F11" s="25"/>
      <c r="G11" s="25"/>
      <c r="H11" s="25">
        <v>1467.12</v>
      </c>
      <c r="I11" s="32">
        <f>+H11*18%</f>
        <v>264.08159999999998</v>
      </c>
      <c r="J11" s="32">
        <f>I11+H11</f>
        <v>1731.2015999999999</v>
      </c>
      <c r="K11" s="102">
        <v>22</v>
      </c>
      <c r="L11" s="144">
        <f t="shared" si="2"/>
        <v>-2</v>
      </c>
      <c r="M11" s="32">
        <v>1731.2</v>
      </c>
      <c r="N11" s="209">
        <f t="shared" si="3"/>
        <v>38086.400000000001</v>
      </c>
      <c r="P11">
        <v>2</v>
      </c>
    </row>
    <row r="12" spans="1:16" ht="15.75">
      <c r="A12" s="123" t="s">
        <v>197</v>
      </c>
      <c r="B12" s="121" t="s">
        <v>13</v>
      </c>
      <c r="C12" s="10"/>
      <c r="D12" s="10">
        <v>20</v>
      </c>
      <c r="E12" s="15">
        <f t="shared" si="1"/>
        <v>20</v>
      </c>
      <c r="F12" s="25">
        <f>41300/20</f>
        <v>2065</v>
      </c>
      <c r="G12" s="25">
        <f t="shared" ref="G12" si="5">D12*F12</f>
        <v>41300</v>
      </c>
      <c r="H12" s="25"/>
      <c r="I12" s="32"/>
      <c r="J12" s="32"/>
      <c r="K12" s="102">
        <v>20</v>
      </c>
      <c r="L12" s="19">
        <f t="shared" si="2"/>
        <v>0</v>
      </c>
      <c r="M12" s="32">
        <v>2065</v>
      </c>
      <c r="N12" s="209">
        <f t="shared" si="3"/>
        <v>41300</v>
      </c>
    </row>
    <row r="13" spans="1:16" ht="15.75">
      <c r="A13" s="24" t="s">
        <v>17</v>
      </c>
      <c r="B13" s="121" t="s">
        <v>13</v>
      </c>
      <c r="C13" s="10">
        <v>7</v>
      </c>
      <c r="D13" s="10"/>
      <c r="E13" s="15">
        <f t="shared" si="1"/>
        <v>7</v>
      </c>
      <c r="F13" s="25"/>
      <c r="G13" s="25">
        <f t="shared" si="4"/>
        <v>0</v>
      </c>
      <c r="H13" s="25">
        <v>855</v>
      </c>
      <c r="I13" s="32">
        <f>+H13*18%</f>
        <v>153.9</v>
      </c>
      <c r="J13" s="32">
        <f t="shared" si="0"/>
        <v>1008.9</v>
      </c>
      <c r="K13" s="102">
        <v>7</v>
      </c>
      <c r="L13" s="19">
        <f t="shared" si="2"/>
        <v>0</v>
      </c>
      <c r="M13" s="32">
        <v>1008.9</v>
      </c>
      <c r="N13" s="209">
        <f t="shared" si="3"/>
        <v>7062.3</v>
      </c>
    </row>
    <row r="14" spans="1:16" ht="15.75">
      <c r="A14" s="24" t="s">
        <v>169</v>
      </c>
      <c r="B14" s="121" t="s">
        <v>13</v>
      </c>
      <c r="C14" s="10">
        <v>30</v>
      </c>
      <c r="D14" s="10"/>
      <c r="E14" s="15">
        <f t="shared" si="1"/>
        <v>30</v>
      </c>
      <c r="F14" s="25"/>
      <c r="G14" s="25">
        <f t="shared" si="4"/>
        <v>0</v>
      </c>
      <c r="H14" s="211">
        <v>185</v>
      </c>
      <c r="I14" s="212">
        <f>+H14*18%</f>
        <v>33.299999999999997</v>
      </c>
      <c r="J14" s="212">
        <f t="shared" si="0"/>
        <v>218.3</v>
      </c>
      <c r="K14" s="102">
        <v>30</v>
      </c>
      <c r="L14" s="19">
        <f t="shared" si="2"/>
        <v>0</v>
      </c>
      <c r="M14" s="212">
        <v>218.3</v>
      </c>
      <c r="N14" s="209">
        <f t="shared" si="3"/>
        <v>6549</v>
      </c>
    </row>
    <row r="15" spans="1:16" ht="15.75">
      <c r="A15" s="134" t="s">
        <v>191</v>
      </c>
      <c r="B15" s="135" t="s">
        <v>13</v>
      </c>
      <c r="C15" s="135"/>
      <c r="D15" s="136"/>
      <c r="E15" s="15">
        <f t="shared" si="1"/>
        <v>0</v>
      </c>
      <c r="F15" s="25"/>
      <c r="G15" s="25"/>
      <c r="H15" s="211"/>
      <c r="I15" s="212"/>
      <c r="J15" s="212"/>
      <c r="K15" s="102">
        <v>9</v>
      </c>
      <c r="L15" s="19">
        <f t="shared" si="2"/>
        <v>-9</v>
      </c>
      <c r="M15" s="212">
        <v>8024</v>
      </c>
      <c r="N15" s="209">
        <f t="shared" si="3"/>
        <v>72216</v>
      </c>
      <c r="P15">
        <v>9</v>
      </c>
    </row>
    <row r="16" spans="1:16" ht="15.75">
      <c r="A16" s="24" t="s">
        <v>19</v>
      </c>
      <c r="B16" s="121" t="s">
        <v>13</v>
      </c>
      <c r="C16" s="10">
        <v>41</v>
      </c>
      <c r="D16" s="10"/>
      <c r="E16" s="15">
        <f t="shared" si="1"/>
        <v>41</v>
      </c>
      <c r="F16" s="25"/>
      <c r="G16" s="25">
        <f t="shared" si="4"/>
        <v>0</v>
      </c>
      <c r="H16" s="211">
        <v>25</v>
      </c>
      <c r="I16" s="212">
        <f>+H16*18%</f>
        <v>4.5</v>
      </c>
      <c r="J16" s="212">
        <f t="shared" si="0"/>
        <v>29.5</v>
      </c>
      <c r="K16" s="102">
        <v>29</v>
      </c>
      <c r="L16" s="19">
        <f t="shared" si="2"/>
        <v>12</v>
      </c>
      <c r="M16" s="212">
        <v>29.5</v>
      </c>
      <c r="N16" s="209">
        <f t="shared" si="3"/>
        <v>855.5</v>
      </c>
      <c r="O16">
        <v>12</v>
      </c>
    </row>
    <row r="17" spans="1:16" ht="15.75">
      <c r="A17" s="24" t="s">
        <v>170</v>
      </c>
      <c r="B17" s="121" t="s">
        <v>13</v>
      </c>
      <c r="C17" s="10"/>
      <c r="D17" s="10">
        <v>60</v>
      </c>
      <c r="E17" s="15">
        <f t="shared" si="1"/>
        <v>60</v>
      </c>
      <c r="F17" s="25">
        <f>531/60</f>
        <v>8.85</v>
      </c>
      <c r="G17" s="25">
        <f t="shared" si="4"/>
        <v>531</v>
      </c>
      <c r="H17" s="211"/>
      <c r="I17" s="212"/>
      <c r="J17" s="212"/>
      <c r="K17" s="102">
        <v>44</v>
      </c>
      <c r="L17" s="19">
        <f t="shared" si="2"/>
        <v>16</v>
      </c>
      <c r="M17" s="212">
        <v>8.85</v>
      </c>
      <c r="N17" s="209">
        <f t="shared" si="3"/>
        <v>389.4</v>
      </c>
      <c r="O17">
        <v>16</v>
      </c>
    </row>
    <row r="18" spans="1:16" ht="15.75">
      <c r="A18" s="24" t="s">
        <v>21</v>
      </c>
      <c r="B18" s="121" t="s">
        <v>13</v>
      </c>
      <c r="C18" s="10">
        <v>2</v>
      </c>
      <c r="D18" s="10"/>
      <c r="E18" s="15">
        <f t="shared" si="1"/>
        <v>2</v>
      </c>
      <c r="F18" s="25"/>
      <c r="G18" s="25">
        <f t="shared" si="4"/>
        <v>0</v>
      </c>
      <c r="H18" s="25">
        <v>3250</v>
      </c>
      <c r="I18" s="32">
        <f>+H18*18%</f>
        <v>585</v>
      </c>
      <c r="J18" s="32">
        <f t="shared" ref="J18:J76" si="6">I18+H18</f>
        <v>3835</v>
      </c>
      <c r="K18" s="102">
        <v>2</v>
      </c>
      <c r="L18" s="19">
        <f t="shared" si="2"/>
        <v>0</v>
      </c>
      <c r="M18" s="32">
        <v>3835</v>
      </c>
      <c r="N18" s="209">
        <f t="shared" si="3"/>
        <v>7670</v>
      </c>
    </row>
    <row r="19" spans="1:16" ht="15.75">
      <c r="A19" s="120" t="s">
        <v>182</v>
      </c>
      <c r="B19" s="121" t="s">
        <v>13</v>
      </c>
      <c r="C19" s="10"/>
      <c r="D19" s="10">
        <v>3</v>
      </c>
      <c r="E19" s="15">
        <f t="shared" si="1"/>
        <v>3</v>
      </c>
      <c r="F19" s="25">
        <f>11505/D19</f>
        <v>3835</v>
      </c>
      <c r="G19" s="25">
        <f t="shared" si="4"/>
        <v>11505</v>
      </c>
      <c r="H19" s="25"/>
      <c r="I19" s="32"/>
      <c r="J19" s="32"/>
      <c r="K19" s="102">
        <v>3</v>
      </c>
      <c r="L19" s="19">
        <f t="shared" si="2"/>
        <v>0</v>
      </c>
      <c r="M19" s="32">
        <v>3835</v>
      </c>
      <c r="N19" s="209">
        <f t="shared" si="3"/>
        <v>11505</v>
      </c>
    </row>
    <row r="20" spans="1:16" ht="15.75">
      <c r="A20" s="64" t="s">
        <v>22</v>
      </c>
      <c r="B20" s="213" t="s">
        <v>13</v>
      </c>
      <c r="C20" s="15">
        <v>360</v>
      </c>
      <c r="D20" s="15"/>
      <c r="E20" s="15">
        <f t="shared" si="1"/>
        <v>360</v>
      </c>
      <c r="F20" s="112"/>
      <c r="G20" s="25">
        <f t="shared" si="4"/>
        <v>0</v>
      </c>
      <c r="H20" s="112">
        <v>256</v>
      </c>
      <c r="I20" s="209">
        <f>H20*18%</f>
        <v>46.08</v>
      </c>
      <c r="J20" s="209">
        <f t="shared" si="6"/>
        <v>302.08</v>
      </c>
      <c r="K20" s="102">
        <v>300</v>
      </c>
      <c r="L20" s="19">
        <f t="shared" si="2"/>
        <v>60</v>
      </c>
      <c r="M20" s="209">
        <v>302.08</v>
      </c>
      <c r="N20" s="209">
        <f t="shared" si="3"/>
        <v>90624</v>
      </c>
      <c r="O20">
        <v>60</v>
      </c>
    </row>
    <row r="21" spans="1:16" ht="15.75">
      <c r="A21" s="134" t="s">
        <v>193</v>
      </c>
      <c r="B21" s="213" t="s">
        <v>13</v>
      </c>
      <c r="C21" s="15"/>
      <c r="D21" s="15"/>
      <c r="E21" s="15">
        <f t="shared" si="1"/>
        <v>0</v>
      </c>
      <c r="F21" s="112"/>
      <c r="G21" s="25"/>
      <c r="H21" s="112"/>
      <c r="I21" s="209"/>
      <c r="J21" s="209"/>
      <c r="K21" s="102">
        <v>4</v>
      </c>
      <c r="L21" s="144">
        <f t="shared" si="2"/>
        <v>-4</v>
      </c>
      <c r="M21" s="209">
        <v>3127</v>
      </c>
      <c r="N21" s="209">
        <f t="shared" si="3"/>
        <v>12508</v>
      </c>
      <c r="P21">
        <v>4</v>
      </c>
    </row>
    <row r="22" spans="1:16" ht="15.75">
      <c r="A22" s="24" t="s">
        <v>23</v>
      </c>
      <c r="B22" s="121" t="s">
        <v>13</v>
      </c>
      <c r="C22" s="10">
        <v>3</v>
      </c>
      <c r="D22" s="10"/>
      <c r="E22" s="15">
        <f t="shared" si="1"/>
        <v>3</v>
      </c>
      <c r="F22" s="25"/>
      <c r="G22" s="25">
        <f t="shared" si="4"/>
        <v>0</v>
      </c>
      <c r="H22" s="25">
        <v>2500</v>
      </c>
      <c r="I22" s="32">
        <f t="shared" ref="I22:I37" si="7">+H22*18%</f>
        <v>450</v>
      </c>
      <c r="J22" s="32">
        <f t="shared" si="6"/>
        <v>2950</v>
      </c>
      <c r="K22" s="102">
        <v>3</v>
      </c>
      <c r="L22" s="19">
        <f t="shared" si="2"/>
        <v>0</v>
      </c>
      <c r="M22" s="32">
        <v>2950</v>
      </c>
      <c r="N22" s="209">
        <f t="shared" si="3"/>
        <v>8850</v>
      </c>
    </row>
    <row r="23" spans="1:16" ht="15.75">
      <c r="A23" s="24" t="s">
        <v>24</v>
      </c>
      <c r="B23" s="121" t="s">
        <v>13</v>
      </c>
      <c r="C23" s="10">
        <v>16</v>
      </c>
      <c r="D23" s="10"/>
      <c r="E23" s="15">
        <f t="shared" si="1"/>
        <v>16</v>
      </c>
      <c r="F23" s="25"/>
      <c r="G23" s="25">
        <f t="shared" si="4"/>
        <v>0</v>
      </c>
      <c r="H23" s="25">
        <v>218</v>
      </c>
      <c r="I23" s="32">
        <f t="shared" si="7"/>
        <v>39.24</v>
      </c>
      <c r="J23" s="32">
        <f t="shared" si="6"/>
        <v>257.24</v>
      </c>
      <c r="K23" s="102">
        <v>23</v>
      </c>
      <c r="L23" s="144">
        <f t="shared" si="2"/>
        <v>-7</v>
      </c>
      <c r="M23" s="32">
        <v>257.24</v>
      </c>
      <c r="N23" s="209">
        <f t="shared" si="3"/>
        <v>5916.52</v>
      </c>
    </row>
    <row r="24" spans="1:16" ht="15.75">
      <c r="A24" s="123" t="s">
        <v>178</v>
      </c>
      <c r="B24" s="214" t="s">
        <v>13</v>
      </c>
      <c r="C24" s="10"/>
      <c r="D24" s="10">
        <v>15</v>
      </c>
      <c r="E24" s="15">
        <f t="shared" si="1"/>
        <v>15</v>
      </c>
      <c r="F24" s="25">
        <f>6195/15</f>
        <v>413</v>
      </c>
      <c r="G24" s="25">
        <f t="shared" si="4"/>
        <v>6195</v>
      </c>
      <c r="H24" s="25"/>
      <c r="I24" s="32"/>
      <c r="J24" s="32"/>
      <c r="K24" s="102">
        <v>15</v>
      </c>
      <c r="L24" s="19">
        <f t="shared" si="2"/>
        <v>0</v>
      </c>
      <c r="M24" s="32">
        <v>413</v>
      </c>
      <c r="N24" s="209">
        <f t="shared" si="3"/>
        <v>6195</v>
      </c>
    </row>
    <row r="25" spans="1:16" ht="15.75">
      <c r="A25" s="24" t="s">
        <v>232</v>
      </c>
      <c r="B25" s="121" t="s">
        <v>13</v>
      </c>
      <c r="C25" s="10">
        <v>2</v>
      </c>
      <c r="D25" s="10">
        <v>10</v>
      </c>
      <c r="E25" s="15">
        <f t="shared" si="1"/>
        <v>12</v>
      </c>
      <c r="F25" s="25">
        <f>3304/10</f>
        <v>330.4</v>
      </c>
      <c r="G25" s="25">
        <f t="shared" si="4"/>
        <v>3304</v>
      </c>
      <c r="H25" s="25">
        <v>205.67</v>
      </c>
      <c r="I25" s="32">
        <f t="shared" si="7"/>
        <v>37.020599999999995</v>
      </c>
      <c r="J25" s="32">
        <f t="shared" si="6"/>
        <v>242.69059999999999</v>
      </c>
      <c r="K25" s="102">
        <v>6</v>
      </c>
      <c r="L25" s="19">
        <f t="shared" si="2"/>
        <v>6</v>
      </c>
      <c r="M25" s="32">
        <v>330.4</v>
      </c>
      <c r="N25" s="209">
        <f t="shared" si="3"/>
        <v>1982.3999999999999</v>
      </c>
    </row>
    <row r="26" spans="1:16" ht="15.75">
      <c r="A26" s="24" t="s">
        <v>173</v>
      </c>
      <c r="B26" s="121" t="s">
        <v>13</v>
      </c>
      <c r="C26" s="10"/>
      <c r="D26" s="10">
        <v>30</v>
      </c>
      <c r="E26" s="15">
        <f t="shared" si="1"/>
        <v>30</v>
      </c>
      <c r="F26" s="25">
        <f>12390/30</f>
        <v>413</v>
      </c>
      <c r="G26" s="25">
        <f t="shared" si="4"/>
        <v>12390</v>
      </c>
      <c r="H26" s="25"/>
      <c r="I26" s="32"/>
      <c r="J26" s="32"/>
      <c r="K26" s="102">
        <v>23</v>
      </c>
      <c r="L26" s="19">
        <f t="shared" si="2"/>
        <v>7</v>
      </c>
      <c r="M26" s="32">
        <v>413</v>
      </c>
      <c r="N26" s="209">
        <f t="shared" si="3"/>
        <v>9499</v>
      </c>
    </row>
    <row r="27" spans="1:16" ht="15.75">
      <c r="A27" s="24" t="s">
        <v>26</v>
      </c>
      <c r="B27" s="121" t="s">
        <v>13</v>
      </c>
      <c r="C27" s="10">
        <v>19</v>
      </c>
      <c r="D27" s="10"/>
      <c r="E27" s="15">
        <f t="shared" si="1"/>
        <v>19</v>
      </c>
      <c r="F27" s="25"/>
      <c r="G27" s="25">
        <f t="shared" si="4"/>
        <v>0</v>
      </c>
      <c r="H27" s="25">
        <v>69.17</v>
      </c>
      <c r="I27" s="32">
        <f t="shared" si="7"/>
        <v>12.4506</v>
      </c>
      <c r="J27" s="32">
        <f t="shared" si="6"/>
        <v>81.620599999999996</v>
      </c>
      <c r="K27" s="102">
        <v>15</v>
      </c>
      <c r="L27" s="19">
        <f t="shared" si="2"/>
        <v>4</v>
      </c>
      <c r="M27" s="32">
        <v>81.62</v>
      </c>
      <c r="N27" s="209">
        <f t="shared" si="3"/>
        <v>1224.3000000000002</v>
      </c>
    </row>
    <row r="28" spans="1:16" ht="15.75">
      <c r="A28" s="24" t="s">
        <v>27</v>
      </c>
      <c r="B28" s="121" t="s">
        <v>13</v>
      </c>
      <c r="C28" s="10">
        <v>17</v>
      </c>
      <c r="D28" s="10"/>
      <c r="E28" s="15">
        <f t="shared" si="1"/>
        <v>17</v>
      </c>
      <c r="F28" s="25"/>
      <c r="G28" s="25">
        <f t="shared" si="4"/>
        <v>0</v>
      </c>
      <c r="H28" s="211">
        <v>55</v>
      </c>
      <c r="I28" s="212">
        <f t="shared" si="7"/>
        <v>9.9</v>
      </c>
      <c r="J28" s="212">
        <f t="shared" si="6"/>
        <v>64.900000000000006</v>
      </c>
      <c r="K28" s="102">
        <v>4</v>
      </c>
      <c r="L28" s="19">
        <f t="shared" si="2"/>
        <v>13</v>
      </c>
      <c r="M28" s="212">
        <v>64.900000000000006</v>
      </c>
      <c r="N28" s="209">
        <f t="shared" si="3"/>
        <v>259.60000000000002</v>
      </c>
    </row>
    <row r="29" spans="1:16" ht="15.75">
      <c r="A29" s="24" t="s">
        <v>28</v>
      </c>
      <c r="B29" s="121" t="s">
        <v>29</v>
      </c>
      <c r="C29" s="10">
        <v>16</v>
      </c>
      <c r="D29" s="10">
        <v>10</v>
      </c>
      <c r="E29" s="15">
        <f t="shared" si="1"/>
        <v>26</v>
      </c>
      <c r="F29" s="25">
        <f>1770/D29</f>
        <v>177</v>
      </c>
      <c r="G29" s="25">
        <f t="shared" si="4"/>
        <v>1770</v>
      </c>
      <c r="H29" s="25">
        <v>57.29</v>
      </c>
      <c r="I29" s="32">
        <f t="shared" si="7"/>
        <v>10.312199999999999</v>
      </c>
      <c r="J29" s="32">
        <f t="shared" si="6"/>
        <v>67.602199999999996</v>
      </c>
      <c r="K29" s="102">
        <v>26</v>
      </c>
      <c r="L29" s="19">
        <f t="shared" si="2"/>
        <v>0</v>
      </c>
      <c r="M29" s="32">
        <v>67.900000000000006</v>
      </c>
      <c r="N29" s="209">
        <f t="shared" si="3"/>
        <v>1765.4</v>
      </c>
    </row>
    <row r="30" spans="1:16" ht="15.75">
      <c r="A30" s="24" t="s">
        <v>33</v>
      </c>
      <c r="B30" s="121" t="s">
        <v>31</v>
      </c>
      <c r="C30" s="10">
        <v>13</v>
      </c>
      <c r="D30" s="10"/>
      <c r="E30" s="15">
        <f t="shared" si="1"/>
        <v>13</v>
      </c>
      <c r="F30" s="25"/>
      <c r="G30" s="25">
        <f t="shared" si="4"/>
        <v>0</v>
      </c>
      <c r="H30" s="25">
        <v>26.96</v>
      </c>
      <c r="I30" s="32">
        <f t="shared" si="7"/>
        <v>4.8528000000000002</v>
      </c>
      <c r="J30" s="32">
        <f t="shared" si="6"/>
        <v>31.812800000000003</v>
      </c>
      <c r="K30" s="102">
        <v>8</v>
      </c>
      <c r="L30" s="19">
        <f t="shared" si="2"/>
        <v>5</v>
      </c>
      <c r="M30" s="32">
        <v>31.81</v>
      </c>
      <c r="N30" s="209">
        <f t="shared" si="3"/>
        <v>254.48</v>
      </c>
    </row>
    <row r="31" spans="1:16" ht="15.75">
      <c r="A31" s="120" t="s">
        <v>176</v>
      </c>
      <c r="B31" s="121" t="s">
        <v>31</v>
      </c>
      <c r="C31" s="10"/>
      <c r="D31" s="10">
        <v>40</v>
      </c>
      <c r="E31" s="15">
        <f t="shared" si="1"/>
        <v>40</v>
      </c>
      <c r="F31" s="25">
        <f>1062/D31</f>
        <v>26.55</v>
      </c>
      <c r="G31" s="25">
        <f t="shared" si="4"/>
        <v>1062</v>
      </c>
      <c r="H31" s="25"/>
      <c r="I31" s="32"/>
      <c r="J31" s="32"/>
      <c r="K31" s="102">
        <v>112</v>
      </c>
      <c r="L31" s="229">
        <f t="shared" si="2"/>
        <v>-72</v>
      </c>
      <c r="M31" s="32">
        <v>26.55</v>
      </c>
      <c r="N31" s="209">
        <f t="shared" si="3"/>
        <v>2973.6</v>
      </c>
    </row>
    <row r="32" spans="1:16" ht="15.75">
      <c r="A32" s="120" t="s">
        <v>199</v>
      </c>
      <c r="B32" s="121" t="s">
        <v>31</v>
      </c>
      <c r="C32" s="10"/>
      <c r="D32" s="10"/>
      <c r="E32" s="15">
        <f t="shared" si="1"/>
        <v>0</v>
      </c>
      <c r="F32" s="25"/>
      <c r="G32" s="25"/>
      <c r="H32" s="25"/>
      <c r="I32" s="32"/>
      <c r="J32" s="32"/>
      <c r="K32" s="102">
        <v>20</v>
      </c>
      <c r="L32" s="229">
        <f t="shared" si="2"/>
        <v>-20</v>
      </c>
      <c r="M32" s="32">
        <v>26.96</v>
      </c>
      <c r="N32" s="209">
        <f t="shared" si="3"/>
        <v>539.20000000000005</v>
      </c>
    </row>
    <row r="33" spans="1:14" ht="15.75">
      <c r="A33" s="24" t="s">
        <v>34</v>
      </c>
      <c r="B33" s="121" t="s">
        <v>31</v>
      </c>
      <c r="C33" s="10">
        <v>18</v>
      </c>
      <c r="D33" s="10">
        <v>20</v>
      </c>
      <c r="E33" s="15">
        <f t="shared" si="1"/>
        <v>38</v>
      </c>
      <c r="F33" s="25">
        <f>4248/D33</f>
        <v>212.4</v>
      </c>
      <c r="G33" s="25">
        <f t="shared" si="4"/>
        <v>4248</v>
      </c>
      <c r="H33" s="25">
        <v>122.14</v>
      </c>
      <c r="I33" s="32">
        <f t="shared" si="7"/>
        <v>21.985199999999999</v>
      </c>
      <c r="J33" s="32">
        <f t="shared" si="6"/>
        <v>144.12520000000001</v>
      </c>
      <c r="K33" s="102">
        <v>33</v>
      </c>
      <c r="L33" s="19">
        <f t="shared" si="2"/>
        <v>5</v>
      </c>
      <c r="M33" s="32">
        <v>212.4</v>
      </c>
      <c r="N33" s="209">
        <f t="shared" si="3"/>
        <v>7009.2</v>
      </c>
    </row>
    <row r="34" spans="1:14" ht="15.75">
      <c r="A34" s="120" t="s">
        <v>177</v>
      </c>
      <c r="B34" s="121" t="s">
        <v>31</v>
      </c>
      <c r="C34" s="10"/>
      <c r="D34" s="10">
        <v>40</v>
      </c>
      <c r="E34" s="15">
        <f t="shared" si="1"/>
        <v>40</v>
      </c>
      <c r="F34" s="25">
        <f>2124/D34</f>
        <v>53.1</v>
      </c>
      <c r="G34" s="25">
        <f t="shared" si="4"/>
        <v>2124</v>
      </c>
      <c r="H34" s="25"/>
      <c r="I34" s="32"/>
      <c r="J34" s="32"/>
      <c r="K34" s="102">
        <v>76</v>
      </c>
      <c r="L34" s="229">
        <f t="shared" si="2"/>
        <v>-36</v>
      </c>
      <c r="M34" s="32">
        <v>53.1</v>
      </c>
      <c r="N34" s="209">
        <f t="shared" si="3"/>
        <v>4035.6</v>
      </c>
    </row>
    <row r="35" spans="1:14" ht="15.75">
      <c r="A35" s="24" t="s">
        <v>35</v>
      </c>
      <c r="B35" s="121" t="s">
        <v>31</v>
      </c>
      <c r="C35" s="10">
        <v>36</v>
      </c>
      <c r="D35" s="10">
        <v>15</v>
      </c>
      <c r="E35" s="15">
        <f t="shared" si="1"/>
        <v>51</v>
      </c>
      <c r="F35" s="25">
        <f>3717/D35</f>
        <v>247.8</v>
      </c>
      <c r="G35" s="25">
        <f t="shared" si="4"/>
        <v>3717</v>
      </c>
      <c r="H35" s="25">
        <v>176.15</v>
      </c>
      <c r="I35" s="32">
        <f t="shared" si="7"/>
        <v>31.707000000000001</v>
      </c>
      <c r="J35" s="32">
        <f t="shared" si="6"/>
        <v>207.857</v>
      </c>
      <c r="K35" s="102">
        <v>33</v>
      </c>
      <c r="L35" s="19">
        <f t="shared" si="2"/>
        <v>18</v>
      </c>
      <c r="M35" s="32">
        <v>207.86</v>
      </c>
      <c r="N35" s="209">
        <f t="shared" si="3"/>
        <v>6859.38</v>
      </c>
    </row>
    <row r="36" spans="1:14" ht="15.75">
      <c r="A36" s="24" t="s">
        <v>36</v>
      </c>
      <c r="B36" s="121" t="s">
        <v>9</v>
      </c>
      <c r="C36" s="10">
        <v>87</v>
      </c>
      <c r="D36" s="10"/>
      <c r="E36" s="15">
        <f t="shared" si="1"/>
        <v>87</v>
      </c>
      <c r="F36" s="25"/>
      <c r="G36" s="25">
        <f t="shared" si="4"/>
        <v>0</v>
      </c>
      <c r="H36" s="211">
        <v>55</v>
      </c>
      <c r="I36" s="212">
        <f t="shared" si="7"/>
        <v>9.9</v>
      </c>
      <c r="J36" s="212">
        <f t="shared" si="6"/>
        <v>64.900000000000006</v>
      </c>
      <c r="K36" s="102">
        <v>71</v>
      </c>
      <c r="L36" s="19">
        <f t="shared" si="2"/>
        <v>16</v>
      </c>
      <c r="M36" s="212">
        <v>64.900000000000006</v>
      </c>
      <c r="N36" s="209">
        <f t="shared" si="3"/>
        <v>4607.9000000000005</v>
      </c>
    </row>
    <row r="37" spans="1:14" ht="15.75">
      <c r="A37" s="24" t="s">
        <v>37</v>
      </c>
      <c r="B37" s="121" t="s">
        <v>13</v>
      </c>
      <c r="C37" s="10">
        <v>41</v>
      </c>
      <c r="D37" s="10">
        <v>36</v>
      </c>
      <c r="E37" s="15">
        <f t="shared" si="1"/>
        <v>77</v>
      </c>
      <c r="F37" s="25">
        <v>59</v>
      </c>
      <c r="G37" s="25">
        <f t="shared" si="4"/>
        <v>2124</v>
      </c>
      <c r="H37" s="25">
        <v>20</v>
      </c>
      <c r="I37" s="32">
        <f t="shared" si="7"/>
        <v>3.5999999999999996</v>
      </c>
      <c r="J37" s="32">
        <f t="shared" si="6"/>
        <v>23.6</v>
      </c>
      <c r="K37" s="102">
        <v>39</v>
      </c>
      <c r="L37" s="19">
        <f t="shared" si="2"/>
        <v>38</v>
      </c>
      <c r="M37" s="32">
        <v>59</v>
      </c>
      <c r="N37" s="209">
        <f t="shared" si="3"/>
        <v>2301</v>
      </c>
    </row>
    <row r="38" spans="1:14" ht="15.75">
      <c r="A38" s="24" t="s">
        <v>38</v>
      </c>
      <c r="B38" s="121" t="s">
        <v>13</v>
      </c>
      <c r="C38" s="10">
        <v>22</v>
      </c>
      <c r="D38" s="10"/>
      <c r="E38" s="15">
        <f t="shared" si="1"/>
        <v>22</v>
      </c>
      <c r="F38" s="25"/>
      <c r="G38" s="25">
        <f t="shared" si="4"/>
        <v>0</v>
      </c>
      <c r="H38" s="25">
        <v>37.46</v>
      </c>
      <c r="I38" s="32"/>
      <c r="J38" s="32">
        <f t="shared" si="6"/>
        <v>37.46</v>
      </c>
      <c r="K38" s="102">
        <v>54</v>
      </c>
      <c r="L38" s="144">
        <f t="shared" si="2"/>
        <v>-32</v>
      </c>
      <c r="M38" s="32">
        <v>37.46</v>
      </c>
      <c r="N38" s="209">
        <f t="shared" si="3"/>
        <v>2022.8400000000001</v>
      </c>
    </row>
    <row r="39" spans="1:14" ht="15.75">
      <c r="A39" s="24" t="s">
        <v>167</v>
      </c>
      <c r="B39" s="121" t="s">
        <v>163</v>
      </c>
      <c r="C39" s="10">
        <v>1</v>
      </c>
      <c r="D39" s="10"/>
      <c r="E39" s="15">
        <f t="shared" si="1"/>
        <v>1</v>
      </c>
      <c r="F39" s="25"/>
      <c r="G39" s="25">
        <f t="shared" si="4"/>
        <v>0</v>
      </c>
      <c r="H39" s="211">
        <v>4950</v>
      </c>
      <c r="I39" s="212">
        <f t="shared" ref="I39:I50" si="8">+H39*18%</f>
        <v>891</v>
      </c>
      <c r="J39" s="212">
        <f t="shared" si="6"/>
        <v>5841</v>
      </c>
      <c r="K39" s="102">
        <v>1</v>
      </c>
      <c r="L39" s="19">
        <f t="shared" si="2"/>
        <v>0</v>
      </c>
      <c r="M39" s="212">
        <v>5841</v>
      </c>
      <c r="N39" s="209">
        <f t="shared" si="3"/>
        <v>5841</v>
      </c>
    </row>
    <row r="40" spans="1:14" ht="15.75">
      <c r="A40" s="24" t="s">
        <v>41</v>
      </c>
      <c r="B40" s="121" t="s">
        <v>13</v>
      </c>
      <c r="C40" s="10">
        <v>4</v>
      </c>
      <c r="D40" s="10"/>
      <c r="E40" s="15">
        <f t="shared" si="1"/>
        <v>4</v>
      </c>
      <c r="F40" s="25"/>
      <c r="G40" s="25">
        <f t="shared" si="4"/>
        <v>0</v>
      </c>
      <c r="H40" s="211">
        <v>175</v>
      </c>
      <c r="I40" s="212">
        <f t="shared" si="8"/>
        <v>31.5</v>
      </c>
      <c r="J40" s="212">
        <f t="shared" si="6"/>
        <v>206.5</v>
      </c>
      <c r="K40" s="102">
        <v>1</v>
      </c>
      <c r="L40" s="19">
        <f t="shared" si="2"/>
        <v>3</v>
      </c>
      <c r="M40" s="212">
        <v>206.5</v>
      </c>
      <c r="N40" s="209">
        <f t="shared" si="3"/>
        <v>206.5</v>
      </c>
    </row>
    <row r="41" spans="1:14" ht="15.75">
      <c r="A41" s="120" t="s">
        <v>185</v>
      </c>
      <c r="B41" s="121" t="s">
        <v>13</v>
      </c>
      <c r="C41" s="10"/>
      <c r="D41" s="10">
        <v>12</v>
      </c>
      <c r="E41" s="15">
        <f t="shared" si="1"/>
        <v>12</v>
      </c>
      <c r="F41" s="25">
        <f>821.28/D41</f>
        <v>68.44</v>
      </c>
      <c r="G41" s="25">
        <f t="shared" si="4"/>
        <v>821.28</v>
      </c>
      <c r="H41" s="211"/>
      <c r="I41" s="212"/>
      <c r="J41" s="212"/>
      <c r="K41" s="102">
        <v>11</v>
      </c>
      <c r="L41" s="19">
        <f t="shared" si="2"/>
        <v>1</v>
      </c>
      <c r="M41" s="212">
        <v>68.44</v>
      </c>
      <c r="N41" s="209">
        <f t="shared" si="3"/>
        <v>752.83999999999992</v>
      </c>
    </row>
    <row r="42" spans="1:14" ht="15.75">
      <c r="A42" s="24" t="s">
        <v>43</v>
      </c>
      <c r="B42" s="121" t="s">
        <v>14</v>
      </c>
      <c r="C42" s="10">
        <v>7</v>
      </c>
      <c r="D42" s="10"/>
      <c r="E42" s="15">
        <f t="shared" si="1"/>
        <v>7</v>
      </c>
      <c r="F42" s="25"/>
      <c r="G42" s="25">
        <f t="shared" si="4"/>
        <v>0</v>
      </c>
      <c r="H42" s="211">
        <v>425</v>
      </c>
      <c r="I42" s="212">
        <f t="shared" si="8"/>
        <v>76.5</v>
      </c>
      <c r="J42" s="212">
        <f t="shared" si="6"/>
        <v>501.5</v>
      </c>
      <c r="K42" s="102">
        <v>3</v>
      </c>
      <c r="L42" s="19">
        <f t="shared" si="2"/>
        <v>4</v>
      </c>
      <c r="M42" s="212">
        <v>501.5</v>
      </c>
      <c r="N42" s="209">
        <f t="shared" si="3"/>
        <v>1504.5</v>
      </c>
    </row>
    <row r="43" spans="1:14" ht="15.75">
      <c r="A43" s="24" t="s">
        <v>162</v>
      </c>
      <c r="B43" s="121" t="s">
        <v>163</v>
      </c>
      <c r="C43" s="10">
        <v>12</v>
      </c>
      <c r="D43" s="10"/>
      <c r="E43" s="15">
        <f t="shared" si="1"/>
        <v>12</v>
      </c>
      <c r="F43" s="25"/>
      <c r="G43" s="25">
        <f t="shared" si="4"/>
        <v>0</v>
      </c>
      <c r="H43" s="211">
        <v>110</v>
      </c>
      <c r="I43" s="212">
        <f t="shared" si="8"/>
        <v>19.8</v>
      </c>
      <c r="J43" s="212">
        <f t="shared" si="6"/>
        <v>129.80000000000001</v>
      </c>
      <c r="K43" s="102">
        <v>8</v>
      </c>
      <c r="L43" s="19">
        <f t="shared" si="2"/>
        <v>4</v>
      </c>
      <c r="M43" s="212">
        <v>129.80000000000001</v>
      </c>
      <c r="N43" s="209">
        <f t="shared" si="3"/>
        <v>1038.4000000000001</v>
      </c>
    </row>
    <row r="44" spans="1:14" ht="15.75">
      <c r="A44" s="24" t="s">
        <v>42</v>
      </c>
      <c r="B44" s="121" t="s">
        <v>9</v>
      </c>
      <c r="C44" s="10">
        <v>33</v>
      </c>
      <c r="D44" s="10"/>
      <c r="E44" s="15">
        <f t="shared" si="1"/>
        <v>33</v>
      </c>
      <c r="F44" s="25"/>
      <c r="G44" s="25">
        <f t="shared" si="4"/>
        <v>0</v>
      </c>
      <c r="H44" s="211">
        <v>110</v>
      </c>
      <c r="I44" s="212">
        <f t="shared" si="8"/>
        <v>19.8</v>
      </c>
      <c r="J44" s="212">
        <f t="shared" si="6"/>
        <v>129.80000000000001</v>
      </c>
      <c r="K44" s="102">
        <v>42</v>
      </c>
      <c r="L44" s="144">
        <f t="shared" si="2"/>
        <v>-9</v>
      </c>
      <c r="M44" s="212">
        <v>129.80000000000001</v>
      </c>
      <c r="N44" s="209">
        <f t="shared" si="3"/>
        <v>5451.6</v>
      </c>
    </row>
    <row r="45" spans="1:14" ht="15.75">
      <c r="A45" s="24" t="s">
        <v>44</v>
      </c>
      <c r="B45" s="121" t="s">
        <v>29</v>
      </c>
      <c r="C45" s="10">
        <v>6</v>
      </c>
      <c r="D45" s="10"/>
      <c r="E45" s="15">
        <f t="shared" si="1"/>
        <v>6</v>
      </c>
      <c r="F45" s="25"/>
      <c r="G45" s="25">
        <f t="shared" si="4"/>
        <v>0</v>
      </c>
      <c r="H45" s="211">
        <v>65</v>
      </c>
      <c r="I45" s="212">
        <f t="shared" si="8"/>
        <v>11.7</v>
      </c>
      <c r="J45" s="212">
        <f t="shared" si="6"/>
        <v>76.7</v>
      </c>
      <c r="K45" s="102">
        <v>4</v>
      </c>
      <c r="L45" s="19">
        <f t="shared" si="2"/>
        <v>2</v>
      </c>
      <c r="M45" s="212">
        <v>76.7</v>
      </c>
      <c r="N45" s="209">
        <f t="shared" si="3"/>
        <v>306.8</v>
      </c>
    </row>
    <row r="46" spans="1:14" ht="15.75">
      <c r="A46" s="24" t="s">
        <v>161</v>
      </c>
      <c r="B46" s="121" t="s">
        <v>13</v>
      </c>
      <c r="C46" s="10">
        <v>2</v>
      </c>
      <c r="D46" s="10"/>
      <c r="E46" s="15">
        <f t="shared" si="1"/>
        <v>2</v>
      </c>
      <c r="F46" s="25"/>
      <c r="G46" s="25">
        <f t="shared" si="4"/>
        <v>0</v>
      </c>
      <c r="H46" s="211">
        <v>1150</v>
      </c>
      <c r="I46" s="212">
        <f t="shared" si="8"/>
        <v>207</v>
      </c>
      <c r="J46" s="212">
        <f t="shared" si="6"/>
        <v>1357</v>
      </c>
      <c r="K46" s="102">
        <v>2</v>
      </c>
      <c r="L46" s="19">
        <f t="shared" si="2"/>
        <v>0</v>
      </c>
      <c r="M46" s="212">
        <v>1357</v>
      </c>
      <c r="N46" s="209">
        <f t="shared" si="3"/>
        <v>2714</v>
      </c>
    </row>
    <row r="47" spans="1:14" ht="15.75">
      <c r="A47" s="24" t="s">
        <v>160</v>
      </c>
      <c r="B47" s="121" t="s">
        <v>13</v>
      </c>
      <c r="C47" s="10">
        <v>2</v>
      </c>
      <c r="D47" s="10"/>
      <c r="E47" s="15">
        <f t="shared" si="1"/>
        <v>2</v>
      </c>
      <c r="F47" s="25"/>
      <c r="G47" s="25">
        <f t="shared" si="4"/>
        <v>0</v>
      </c>
      <c r="H47" s="211">
        <v>3450</v>
      </c>
      <c r="I47" s="212">
        <f t="shared" si="8"/>
        <v>621</v>
      </c>
      <c r="J47" s="212">
        <f t="shared" si="6"/>
        <v>4071</v>
      </c>
      <c r="K47" s="102">
        <v>2</v>
      </c>
      <c r="L47" s="19">
        <f t="shared" si="2"/>
        <v>0</v>
      </c>
      <c r="M47" s="212">
        <v>4071</v>
      </c>
      <c r="N47" s="209">
        <f t="shared" si="3"/>
        <v>8142</v>
      </c>
    </row>
    <row r="48" spans="1:14" ht="15.75">
      <c r="A48" s="24" t="s">
        <v>46</v>
      </c>
      <c r="B48" s="121" t="s">
        <v>13</v>
      </c>
      <c r="C48" s="10">
        <v>20</v>
      </c>
      <c r="D48" s="10">
        <v>20</v>
      </c>
      <c r="E48" s="15">
        <f t="shared" si="1"/>
        <v>40</v>
      </c>
      <c r="F48" s="25">
        <f>5900/20</f>
        <v>295</v>
      </c>
      <c r="G48" s="25">
        <f t="shared" si="4"/>
        <v>5900</v>
      </c>
      <c r="H48" s="25">
        <v>154.26</v>
      </c>
      <c r="I48" s="32">
        <f t="shared" si="8"/>
        <v>27.766799999999996</v>
      </c>
      <c r="J48" s="32">
        <f t="shared" si="6"/>
        <v>182.02679999999998</v>
      </c>
      <c r="K48" s="102">
        <v>40</v>
      </c>
      <c r="L48" s="19">
        <f t="shared" si="2"/>
        <v>0</v>
      </c>
      <c r="M48" s="32">
        <v>295</v>
      </c>
      <c r="N48" s="209">
        <f t="shared" si="3"/>
        <v>11800</v>
      </c>
    </row>
    <row r="49" spans="1:16" ht="15.75">
      <c r="A49" s="24" t="s">
        <v>47</v>
      </c>
      <c r="B49" s="121" t="s">
        <v>13</v>
      </c>
      <c r="C49" s="10">
        <v>23</v>
      </c>
      <c r="D49" s="10"/>
      <c r="E49" s="15">
        <f t="shared" si="1"/>
        <v>23</v>
      </c>
      <c r="F49" s="25"/>
      <c r="G49" s="25">
        <f t="shared" si="4"/>
        <v>0</v>
      </c>
      <c r="H49" s="211">
        <v>125</v>
      </c>
      <c r="I49" s="212">
        <f t="shared" si="8"/>
        <v>22.5</v>
      </c>
      <c r="J49" s="212">
        <f t="shared" si="6"/>
        <v>147.5</v>
      </c>
      <c r="K49" s="102">
        <v>24</v>
      </c>
      <c r="L49" s="19">
        <f t="shared" si="2"/>
        <v>-1</v>
      </c>
      <c r="M49" s="212">
        <v>147.5</v>
      </c>
      <c r="N49" s="209">
        <f t="shared" si="3"/>
        <v>3540</v>
      </c>
    </row>
    <row r="50" spans="1:16" ht="15.75">
      <c r="A50" s="24" t="s">
        <v>48</v>
      </c>
      <c r="B50" s="121" t="s">
        <v>31</v>
      </c>
      <c r="C50" s="10">
        <v>3</v>
      </c>
      <c r="D50" s="10">
        <v>4</v>
      </c>
      <c r="E50" s="15">
        <f t="shared" si="1"/>
        <v>7</v>
      </c>
      <c r="F50" s="25">
        <f>2640/D50</f>
        <v>660</v>
      </c>
      <c r="G50" s="25">
        <f t="shared" si="4"/>
        <v>2640</v>
      </c>
      <c r="H50" s="25">
        <v>26.44</v>
      </c>
      <c r="I50" s="32">
        <f t="shared" si="8"/>
        <v>4.7591999999999999</v>
      </c>
      <c r="J50" s="32">
        <f t="shared" si="6"/>
        <v>31.199200000000001</v>
      </c>
      <c r="K50" s="102">
        <v>56</v>
      </c>
      <c r="L50" s="230">
        <f t="shared" si="2"/>
        <v>-49</v>
      </c>
      <c r="M50" s="32">
        <v>55</v>
      </c>
      <c r="N50" s="209">
        <f t="shared" si="3"/>
        <v>3080</v>
      </c>
    </row>
    <row r="51" spans="1:16" ht="15.75">
      <c r="A51" s="64" t="s">
        <v>50</v>
      </c>
      <c r="B51" s="213" t="s">
        <v>29</v>
      </c>
      <c r="C51" s="15">
        <v>6</v>
      </c>
      <c r="D51" s="15"/>
      <c r="E51" s="15">
        <f t="shared" si="1"/>
        <v>6</v>
      </c>
      <c r="F51" s="112"/>
      <c r="G51" s="25">
        <f t="shared" si="4"/>
        <v>0</v>
      </c>
      <c r="H51" s="112">
        <v>220</v>
      </c>
      <c r="I51" s="209">
        <f>H51*18%</f>
        <v>39.6</v>
      </c>
      <c r="J51" s="209">
        <f t="shared" si="6"/>
        <v>259.60000000000002</v>
      </c>
      <c r="K51" s="102">
        <v>6</v>
      </c>
      <c r="L51" s="19">
        <f t="shared" si="2"/>
        <v>0</v>
      </c>
      <c r="M51" s="209">
        <v>259.60000000000002</v>
      </c>
      <c r="N51" s="209">
        <f t="shared" si="3"/>
        <v>1557.6000000000001</v>
      </c>
      <c r="P51">
        <f>K50/12</f>
        <v>4.666666666666667</v>
      </c>
    </row>
    <row r="52" spans="1:16" ht="15.75">
      <c r="A52" s="64" t="s">
        <v>51</v>
      </c>
      <c r="B52" s="213" t="s">
        <v>29</v>
      </c>
      <c r="C52" s="15">
        <v>6</v>
      </c>
      <c r="D52" s="15"/>
      <c r="E52" s="15">
        <f t="shared" si="1"/>
        <v>6</v>
      </c>
      <c r="F52" s="112"/>
      <c r="G52" s="25">
        <f t="shared" si="4"/>
        <v>0</v>
      </c>
      <c r="H52" s="112">
        <v>220</v>
      </c>
      <c r="I52" s="209">
        <f>H52*18%</f>
        <v>39.6</v>
      </c>
      <c r="J52" s="209">
        <f t="shared" si="6"/>
        <v>259.60000000000002</v>
      </c>
      <c r="K52" s="102">
        <v>6</v>
      </c>
      <c r="L52" s="19">
        <f t="shared" si="2"/>
        <v>0</v>
      </c>
      <c r="M52" s="209">
        <v>259.60000000000002</v>
      </c>
      <c r="N52" s="209">
        <f t="shared" si="3"/>
        <v>1557.6000000000001</v>
      </c>
    </row>
    <row r="53" spans="1:16" ht="15.75">
      <c r="A53" s="24" t="s">
        <v>52</v>
      </c>
      <c r="B53" s="121" t="s">
        <v>31</v>
      </c>
      <c r="C53" s="10">
        <v>9</v>
      </c>
      <c r="D53" s="10">
        <v>1500</v>
      </c>
      <c r="E53" s="15">
        <f t="shared" si="1"/>
        <v>1509</v>
      </c>
      <c r="F53" s="25">
        <f>4425/1500</f>
        <v>2.95</v>
      </c>
      <c r="G53" s="25">
        <f t="shared" si="4"/>
        <v>4425</v>
      </c>
      <c r="H53" s="25">
        <v>367.28</v>
      </c>
      <c r="I53" s="32">
        <f t="shared" ref="I53:I71" si="9">+H53*18%</f>
        <v>66.110399999999998</v>
      </c>
      <c r="J53" s="32">
        <f t="shared" si="6"/>
        <v>433.3904</v>
      </c>
      <c r="K53" s="102">
        <v>1800</v>
      </c>
      <c r="L53" s="230">
        <f t="shared" si="2"/>
        <v>-291</v>
      </c>
      <c r="M53" s="32">
        <v>2.95</v>
      </c>
      <c r="N53" s="209">
        <f t="shared" si="3"/>
        <v>5310</v>
      </c>
    </row>
    <row r="54" spans="1:16" ht="15.75">
      <c r="A54" s="24" t="s">
        <v>53</v>
      </c>
      <c r="B54" s="121" t="s">
        <v>31</v>
      </c>
      <c r="C54" s="10">
        <v>11</v>
      </c>
      <c r="D54" s="10"/>
      <c r="E54" s="15">
        <f t="shared" si="1"/>
        <v>11</v>
      </c>
      <c r="F54" s="25">
        <v>5.9</v>
      </c>
      <c r="G54" s="25">
        <f t="shared" si="4"/>
        <v>0</v>
      </c>
      <c r="H54" s="25">
        <v>500</v>
      </c>
      <c r="I54" s="32">
        <f t="shared" si="9"/>
        <v>90</v>
      </c>
      <c r="J54" s="32">
        <f t="shared" si="6"/>
        <v>590</v>
      </c>
      <c r="K54" s="102">
        <v>1100</v>
      </c>
      <c r="L54" s="230">
        <f t="shared" si="2"/>
        <v>-1089</v>
      </c>
      <c r="M54" s="32">
        <v>5.9</v>
      </c>
      <c r="N54" s="209">
        <f t="shared" si="3"/>
        <v>6490</v>
      </c>
    </row>
    <row r="55" spans="1:16" ht="15.75">
      <c r="A55" s="24" t="s">
        <v>158</v>
      </c>
      <c r="B55" s="121" t="s">
        <v>29</v>
      </c>
      <c r="C55" s="10">
        <v>5</v>
      </c>
      <c r="D55" s="10"/>
      <c r="E55" s="15">
        <f t="shared" si="1"/>
        <v>5</v>
      </c>
      <c r="F55" s="25"/>
      <c r="G55" s="25">
        <f t="shared" si="4"/>
        <v>0</v>
      </c>
      <c r="H55" s="211">
        <v>95</v>
      </c>
      <c r="I55" s="212">
        <f t="shared" si="9"/>
        <v>17.099999999999998</v>
      </c>
      <c r="J55" s="212">
        <f t="shared" si="6"/>
        <v>112.1</v>
      </c>
      <c r="K55" s="102">
        <v>1</v>
      </c>
      <c r="L55" s="19">
        <f t="shared" si="2"/>
        <v>4</v>
      </c>
      <c r="M55" s="212">
        <v>112.1</v>
      </c>
      <c r="N55" s="209">
        <f t="shared" si="3"/>
        <v>112.1</v>
      </c>
    </row>
    <row r="56" spans="1:16" ht="15.75">
      <c r="A56" s="24" t="s">
        <v>55</v>
      </c>
      <c r="B56" s="121" t="s">
        <v>29</v>
      </c>
      <c r="C56" s="10">
        <v>88</v>
      </c>
      <c r="D56" s="10"/>
      <c r="E56" s="15">
        <f t="shared" si="1"/>
        <v>88</v>
      </c>
      <c r="F56" s="25"/>
      <c r="G56" s="25">
        <f t="shared" si="4"/>
        <v>0</v>
      </c>
      <c r="H56" s="211">
        <v>425</v>
      </c>
      <c r="I56" s="212">
        <f t="shared" si="9"/>
        <v>76.5</v>
      </c>
      <c r="J56" s="212">
        <f t="shared" si="6"/>
        <v>501.5</v>
      </c>
      <c r="K56" s="102">
        <v>80</v>
      </c>
      <c r="L56" s="19">
        <f t="shared" si="2"/>
        <v>8</v>
      </c>
      <c r="M56" s="212">
        <v>501.5</v>
      </c>
      <c r="N56" s="209">
        <f t="shared" si="3"/>
        <v>40120</v>
      </c>
    </row>
    <row r="57" spans="1:16" ht="15.75">
      <c r="A57" s="24" t="s">
        <v>156</v>
      </c>
      <c r="B57" s="121" t="s">
        <v>29</v>
      </c>
      <c r="C57" s="10">
        <v>1</v>
      </c>
      <c r="D57" s="10"/>
      <c r="E57" s="15">
        <f t="shared" si="1"/>
        <v>1</v>
      </c>
      <c r="F57" s="25"/>
      <c r="G57" s="25">
        <f t="shared" si="4"/>
        <v>0</v>
      </c>
      <c r="H57" s="211">
        <v>700</v>
      </c>
      <c r="I57" s="212">
        <f t="shared" si="9"/>
        <v>126</v>
      </c>
      <c r="J57" s="212">
        <f t="shared" si="6"/>
        <v>826</v>
      </c>
      <c r="K57" s="102">
        <v>1</v>
      </c>
      <c r="L57" s="19">
        <f t="shared" si="2"/>
        <v>0</v>
      </c>
      <c r="M57" s="212">
        <v>826</v>
      </c>
      <c r="N57" s="209">
        <f t="shared" si="3"/>
        <v>826</v>
      </c>
    </row>
    <row r="58" spans="1:16" ht="15.75">
      <c r="A58" s="56" t="s">
        <v>54</v>
      </c>
      <c r="B58" s="121" t="s">
        <v>29</v>
      </c>
      <c r="C58" s="27">
        <v>13</v>
      </c>
      <c r="D58" s="27"/>
      <c r="E58" s="15">
        <f t="shared" si="1"/>
        <v>13</v>
      </c>
      <c r="F58" s="113"/>
      <c r="G58" s="25">
        <f t="shared" si="4"/>
        <v>0</v>
      </c>
      <c r="H58" s="25">
        <v>230</v>
      </c>
      <c r="I58" s="32">
        <f t="shared" si="9"/>
        <v>41.4</v>
      </c>
      <c r="J58" s="32">
        <f t="shared" si="6"/>
        <v>271.39999999999998</v>
      </c>
      <c r="K58" s="102">
        <v>16</v>
      </c>
      <c r="L58" s="144">
        <f t="shared" si="2"/>
        <v>-3</v>
      </c>
      <c r="M58" s="32">
        <v>271.39999999999998</v>
      </c>
      <c r="N58" s="209">
        <f t="shared" si="3"/>
        <v>4342.3999999999996</v>
      </c>
    </row>
    <row r="59" spans="1:16" ht="15.75">
      <c r="A59" s="24" t="s">
        <v>57</v>
      </c>
      <c r="B59" s="121" t="s">
        <v>31</v>
      </c>
      <c r="C59" s="10">
        <v>2</v>
      </c>
      <c r="D59" s="10"/>
      <c r="E59" s="15">
        <f t="shared" si="1"/>
        <v>2</v>
      </c>
      <c r="F59" s="25"/>
      <c r="G59" s="25">
        <f t="shared" si="4"/>
        <v>0</v>
      </c>
      <c r="H59" s="25">
        <v>120</v>
      </c>
      <c r="I59" s="32">
        <f t="shared" si="9"/>
        <v>21.599999999999998</v>
      </c>
      <c r="J59" s="32">
        <f t="shared" si="6"/>
        <v>141.6</v>
      </c>
      <c r="K59" s="102">
        <v>2</v>
      </c>
      <c r="L59" s="19">
        <f t="shared" si="2"/>
        <v>0</v>
      </c>
      <c r="M59" s="32">
        <v>141.6</v>
      </c>
      <c r="N59" s="209">
        <f t="shared" si="3"/>
        <v>283.2</v>
      </c>
    </row>
    <row r="60" spans="1:16" ht="15.75">
      <c r="A60" s="24" t="s">
        <v>59</v>
      </c>
      <c r="B60" s="121" t="s">
        <v>9</v>
      </c>
      <c r="C60" s="10">
        <v>28</v>
      </c>
      <c r="D60" s="10"/>
      <c r="E60" s="15">
        <f t="shared" si="1"/>
        <v>28</v>
      </c>
      <c r="F60" s="25"/>
      <c r="G60" s="25">
        <f t="shared" si="4"/>
        <v>0</v>
      </c>
      <c r="H60" s="211">
        <v>700</v>
      </c>
      <c r="I60" s="212">
        <f t="shared" si="9"/>
        <v>126</v>
      </c>
      <c r="J60" s="212">
        <f t="shared" si="6"/>
        <v>826</v>
      </c>
      <c r="K60" s="102">
        <v>24</v>
      </c>
      <c r="L60" s="19">
        <f t="shared" si="2"/>
        <v>4</v>
      </c>
      <c r="M60" s="212">
        <v>826</v>
      </c>
      <c r="N60" s="209">
        <f t="shared" si="3"/>
        <v>19824</v>
      </c>
    </row>
    <row r="61" spans="1:16" ht="15.75">
      <c r="A61" s="24" t="s">
        <v>60</v>
      </c>
      <c r="B61" s="121" t="s">
        <v>31</v>
      </c>
      <c r="C61" s="10">
        <v>32</v>
      </c>
      <c r="D61" s="10">
        <v>25</v>
      </c>
      <c r="E61" s="15">
        <f t="shared" si="1"/>
        <v>57</v>
      </c>
      <c r="F61" s="25">
        <f>1563.5/D61</f>
        <v>62.54</v>
      </c>
      <c r="G61" s="25">
        <f t="shared" si="4"/>
        <v>1563.5</v>
      </c>
      <c r="H61" s="25">
        <v>54.36</v>
      </c>
      <c r="I61" s="32">
        <f t="shared" si="9"/>
        <v>9.7847999999999988</v>
      </c>
      <c r="J61" s="32">
        <f t="shared" si="6"/>
        <v>64.144800000000004</v>
      </c>
      <c r="K61" s="102">
        <v>50</v>
      </c>
      <c r="L61" s="19">
        <f t="shared" si="2"/>
        <v>7</v>
      </c>
      <c r="M61" s="32">
        <v>62.54</v>
      </c>
      <c r="N61" s="209">
        <f t="shared" si="3"/>
        <v>3127</v>
      </c>
    </row>
    <row r="62" spans="1:16" ht="15.75">
      <c r="A62" s="24" t="s">
        <v>159</v>
      </c>
      <c r="B62" s="121" t="s">
        <v>31</v>
      </c>
      <c r="C62" s="10">
        <v>2</v>
      </c>
      <c r="D62" s="10"/>
      <c r="E62" s="15">
        <f t="shared" si="1"/>
        <v>2</v>
      </c>
      <c r="F62" s="25"/>
      <c r="G62" s="25">
        <f t="shared" si="4"/>
        <v>0</v>
      </c>
      <c r="H62" s="211">
        <v>375</v>
      </c>
      <c r="I62" s="212">
        <f t="shared" si="9"/>
        <v>67.5</v>
      </c>
      <c r="J62" s="212">
        <f t="shared" si="6"/>
        <v>442.5</v>
      </c>
      <c r="K62" s="102">
        <v>2</v>
      </c>
      <c r="L62" s="19">
        <f t="shared" si="2"/>
        <v>0</v>
      </c>
      <c r="M62" s="212">
        <v>442.5</v>
      </c>
      <c r="N62" s="209">
        <f t="shared" si="3"/>
        <v>885</v>
      </c>
    </row>
    <row r="63" spans="1:16" ht="15.75">
      <c r="A63" s="24" t="s">
        <v>61</v>
      </c>
      <c r="B63" s="121" t="s">
        <v>13</v>
      </c>
      <c r="C63" s="10">
        <v>15</v>
      </c>
      <c r="D63" s="10">
        <v>15</v>
      </c>
      <c r="E63" s="15">
        <f t="shared" si="1"/>
        <v>30</v>
      </c>
      <c r="F63" s="25">
        <f>7965/D63</f>
        <v>531</v>
      </c>
      <c r="G63" s="25">
        <f t="shared" si="4"/>
        <v>7965</v>
      </c>
      <c r="H63" s="25">
        <v>330.55</v>
      </c>
      <c r="I63" s="32">
        <f t="shared" si="9"/>
        <v>59.499000000000002</v>
      </c>
      <c r="J63" s="32">
        <f t="shared" si="6"/>
        <v>390.04900000000004</v>
      </c>
      <c r="K63" s="102">
        <v>22</v>
      </c>
      <c r="L63" s="19">
        <f t="shared" si="2"/>
        <v>8</v>
      </c>
      <c r="M63" s="32">
        <v>531</v>
      </c>
      <c r="N63" s="209">
        <f t="shared" si="3"/>
        <v>11682</v>
      </c>
    </row>
    <row r="64" spans="1:16" ht="15.75">
      <c r="A64" s="24" t="s">
        <v>64</v>
      </c>
      <c r="B64" s="121" t="s">
        <v>31</v>
      </c>
      <c r="C64" s="10">
        <v>10</v>
      </c>
      <c r="D64" s="10"/>
      <c r="E64" s="15">
        <f t="shared" si="1"/>
        <v>10</v>
      </c>
      <c r="F64" s="25"/>
      <c r="G64" s="25">
        <f t="shared" si="4"/>
        <v>0</v>
      </c>
      <c r="H64" s="25">
        <v>105</v>
      </c>
      <c r="I64" s="32">
        <f t="shared" si="9"/>
        <v>18.899999999999999</v>
      </c>
      <c r="J64" s="32">
        <f t="shared" si="6"/>
        <v>123.9</v>
      </c>
      <c r="K64" s="102">
        <v>10</v>
      </c>
      <c r="L64" s="19">
        <f t="shared" si="2"/>
        <v>0</v>
      </c>
      <c r="M64" s="32">
        <v>123.9</v>
      </c>
      <c r="N64" s="209">
        <f t="shared" si="3"/>
        <v>1239</v>
      </c>
    </row>
    <row r="65" spans="1:14" ht="15.75">
      <c r="A65" s="120" t="s">
        <v>195</v>
      </c>
      <c r="B65" s="121" t="s">
        <v>31</v>
      </c>
      <c r="C65" s="10"/>
      <c r="D65" s="10"/>
      <c r="E65" s="15">
        <f t="shared" ref="E65:E126" si="10">C65+D65</f>
        <v>0</v>
      </c>
      <c r="F65" s="25"/>
      <c r="G65" s="25"/>
      <c r="H65" s="25"/>
      <c r="I65" s="32"/>
      <c r="J65" s="32"/>
      <c r="K65" s="102">
        <v>2</v>
      </c>
      <c r="L65" s="144">
        <f t="shared" ref="L65:L126" si="11">E65-K65</f>
        <v>-2</v>
      </c>
      <c r="M65" s="32">
        <v>76.7</v>
      </c>
      <c r="N65" s="209">
        <f t="shared" si="3"/>
        <v>153.4</v>
      </c>
    </row>
    <row r="66" spans="1:14" ht="15.75">
      <c r="A66" s="24" t="s">
        <v>62</v>
      </c>
      <c r="B66" s="121" t="s">
        <v>31</v>
      </c>
      <c r="C66" s="10">
        <v>25</v>
      </c>
      <c r="D66" s="10">
        <v>40</v>
      </c>
      <c r="E66" s="15">
        <f t="shared" si="10"/>
        <v>65</v>
      </c>
      <c r="F66" s="25">
        <f>7080/D66</f>
        <v>177</v>
      </c>
      <c r="G66" s="25">
        <f t="shared" si="4"/>
        <v>7080</v>
      </c>
      <c r="H66" s="25">
        <v>60</v>
      </c>
      <c r="I66" s="32">
        <f t="shared" si="9"/>
        <v>10.799999999999999</v>
      </c>
      <c r="J66" s="32">
        <f t="shared" si="6"/>
        <v>70.8</v>
      </c>
      <c r="K66" s="102">
        <v>62</v>
      </c>
      <c r="L66" s="19">
        <f t="shared" si="11"/>
        <v>3</v>
      </c>
      <c r="M66" s="32">
        <v>177</v>
      </c>
      <c r="N66" s="209">
        <f t="shared" ref="N66:N127" si="12">K66*M66</f>
        <v>10974</v>
      </c>
    </row>
    <row r="67" spans="1:14" ht="15.75">
      <c r="A67" s="24" t="s">
        <v>65</v>
      </c>
      <c r="B67" s="121" t="s">
        <v>13</v>
      </c>
      <c r="C67" s="10">
        <v>25</v>
      </c>
      <c r="D67" s="10"/>
      <c r="E67" s="15">
        <f t="shared" si="10"/>
        <v>25</v>
      </c>
      <c r="F67" s="25"/>
      <c r="G67" s="25">
        <f t="shared" si="4"/>
        <v>0</v>
      </c>
      <c r="H67" s="211">
        <v>67</v>
      </c>
      <c r="I67" s="212">
        <f t="shared" si="9"/>
        <v>12.059999999999999</v>
      </c>
      <c r="J67" s="212">
        <f t="shared" si="6"/>
        <v>79.06</v>
      </c>
      <c r="K67" s="102">
        <v>10</v>
      </c>
      <c r="L67" s="19">
        <f t="shared" si="11"/>
        <v>15</v>
      </c>
      <c r="M67" s="212">
        <v>79.06</v>
      </c>
      <c r="N67" s="209">
        <f t="shared" si="12"/>
        <v>790.6</v>
      </c>
    </row>
    <row r="68" spans="1:14" ht="15.75">
      <c r="A68" s="24" t="s">
        <v>168</v>
      </c>
      <c r="B68" s="121" t="s">
        <v>13</v>
      </c>
      <c r="C68" s="10">
        <v>15</v>
      </c>
      <c r="D68" s="10"/>
      <c r="E68" s="15">
        <f t="shared" si="10"/>
        <v>15</v>
      </c>
      <c r="F68" s="25"/>
      <c r="G68" s="25">
        <f t="shared" ref="G68:G129" si="13">D68*F68</f>
        <v>0</v>
      </c>
      <c r="H68" s="211">
        <v>98</v>
      </c>
      <c r="I68" s="212">
        <f t="shared" si="9"/>
        <v>17.64</v>
      </c>
      <c r="J68" s="212">
        <f t="shared" si="6"/>
        <v>115.64</v>
      </c>
      <c r="K68" s="102">
        <v>15</v>
      </c>
      <c r="L68" s="19">
        <f t="shared" si="11"/>
        <v>0</v>
      </c>
      <c r="M68" s="212">
        <v>115.64</v>
      </c>
      <c r="N68" s="209">
        <f t="shared" si="12"/>
        <v>1734.6</v>
      </c>
    </row>
    <row r="69" spans="1:14" ht="15.75">
      <c r="A69" s="24" t="s">
        <v>67</v>
      </c>
      <c r="B69" s="121" t="s">
        <v>13</v>
      </c>
      <c r="C69" s="10">
        <v>33</v>
      </c>
      <c r="D69" s="10"/>
      <c r="E69" s="15">
        <f t="shared" si="10"/>
        <v>33</v>
      </c>
      <c r="F69" s="25"/>
      <c r="G69" s="25">
        <f t="shared" si="13"/>
        <v>0</v>
      </c>
      <c r="H69" s="25">
        <v>34</v>
      </c>
      <c r="I69" s="32">
        <f t="shared" si="9"/>
        <v>6.12</v>
      </c>
      <c r="J69" s="32">
        <f t="shared" si="6"/>
        <v>40.119999999999997</v>
      </c>
      <c r="K69" s="102">
        <v>33</v>
      </c>
      <c r="L69" s="19">
        <f t="shared" si="11"/>
        <v>0</v>
      </c>
      <c r="M69" s="32">
        <v>40.119999999999997</v>
      </c>
      <c r="N69" s="209">
        <f t="shared" si="12"/>
        <v>1323.9599999999998</v>
      </c>
    </row>
    <row r="70" spans="1:14" ht="15.75">
      <c r="A70" s="24" t="s">
        <v>68</v>
      </c>
      <c r="B70" s="121" t="s">
        <v>9</v>
      </c>
      <c r="C70" s="10">
        <v>36</v>
      </c>
      <c r="D70" s="10"/>
      <c r="E70" s="15">
        <f t="shared" si="10"/>
        <v>36</v>
      </c>
      <c r="F70" s="25"/>
      <c r="G70" s="25">
        <f t="shared" si="13"/>
        <v>0</v>
      </c>
      <c r="H70" s="211">
        <v>110</v>
      </c>
      <c r="I70" s="212">
        <f t="shared" si="9"/>
        <v>19.8</v>
      </c>
      <c r="J70" s="212">
        <f t="shared" si="6"/>
        <v>129.80000000000001</v>
      </c>
      <c r="K70" s="102">
        <v>21</v>
      </c>
      <c r="L70" s="19">
        <f t="shared" si="11"/>
        <v>15</v>
      </c>
      <c r="M70" s="212">
        <v>129.80000000000001</v>
      </c>
      <c r="N70" s="209">
        <f t="shared" si="12"/>
        <v>2725.8</v>
      </c>
    </row>
    <row r="71" spans="1:14" ht="15.75">
      <c r="A71" s="24" t="s">
        <v>69</v>
      </c>
      <c r="B71" s="121" t="s">
        <v>13</v>
      </c>
      <c r="C71" s="10">
        <v>14</v>
      </c>
      <c r="D71" s="10"/>
      <c r="E71" s="15">
        <f t="shared" si="10"/>
        <v>14</v>
      </c>
      <c r="F71" s="25"/>
      <c r="G71" s="25">
        <f t="shared" si="13"/>
        <v>0</v>
      </c>
      <c r="H71" s="25">
        <v>940</v>
      </c>
      <c r="I71" s="32">
        <f t="shared" si="9"/>
        <v>169.2</v>
      </c>
      <c r="J71" s="32">
        <f t="shared" si="6"/>
        <v>1109.2</v>
      </c>
      <c r="K71" s="102">
        <v>14</v>
      </c>
      <c r="L71" s="19">
        <f t="shared" si="11"/>
        <v>0</v>
      </c>
      <c r="M71" s="32">
        <v>1109.2</v>
      </c>
      <c r="N71" s="209">
        <f t="shared" si="12"/>
        <v>15528.800000000001</v>
      </c>
    </row>
    <row r="72" spans="1:14" ht="15.75">
      <c r="A72" s="24" t="s">
        <v>70</v>
      </c>
      <c r="B72" s="121" t="s">
        <v>31</v>
      </c>
      <c r="C72" s="10">
        <v>1</v>
      </c>
      <c r="D72" s="10">
        <v>10</v>
      </c>
      <c r="E72" s="15">
        <f t="shared" si="10"/>
        <v>11</v>
      </c>
      <c r="F72" s="25">
        <f>672.6/D72</f>
        <v>67.260000000000005</v>
      </c>
      <c r="G72" s="25">
        <f t="shared" si="13"/>
        <v>672.6</v>
      </c>
      <c r="H72" s="25">
        <v>211.65</v>
      </c>
      <c r="I72" s="32"/>
      <c r="J72" s="32">
        <f t="shared" si="6"/>
        <v>211.65</v>
      </c>
      <c r="K72" s="102">
        <v>12</v>
      </c>
      <c r="L72" s="144">
        <f t="shared" si="11"/>
        <v>-1</v>
      </c>
      <c r="M72" s="32">
        <v>67.260000000000005</v>
      </c>
      <c r="N72" s="209">
        <f t="shared" si="12"/>
        <v>807.12000000000012</v>
      </c>
    </row>
    <row r="73" spans="1:14" ht="15.75">
      <c r="A73" s="24" t="s">
        <v>71</v>
      </c>
      <c r="B73" s="121" t="s">
        <v>13</v>
      </c>
      <c r="C73" s="10">
        <v>60</v>
      </c>
      <c r="D73" s="10"/>
      <c r="E73" s="15">
        <f t="shared" si="10"/>
        <v>60</v>
      </c>
      <c r="F73" s="25"/>
      <c r="G73" s="25">
        <f t="shared" si="13"/>
        <v>0</v>
      </c>
      <c r="H73" s="211">
        <v>50</v>
      </c>
      <c r="I73" s="212">
        <f t="shared" ref="I73:I108" si="14">+H73*18%</f>
        <v>9</v>
      </c>
      <c r="J73" s="212">
        <f t="shared" si="6"/>
        <v>59</v>
      </c>
      <c r="K73" s="102">
        <v>42</v>
      </c>
      <c r="L73" s="19">
        <f t="shared" si="11"/>
        <v>18</v>
      </c>
      <c r="M73" s="212">
        <v>59</v>
      </c>
      <c r="N73" s="209">
        <f t="shared" si="12"/>
        <v>2478</v>
      </c>
    </row>
    <row r="74" spans="1:14" ht="15.75">
      <c r="A74" s="24" t="s">
        <v>72</v>
      </c>
      <c r="B74" s="121" t="s">
        <v>31</v>
      </c>
      <c r="C74" s="10">
        <v>25</v>
      </c>
      <c r="D74" s="10">
        <f>60*12</f>
        <v>720</v>
      </c>
      <c r="E74" s="15">
        <f t="shared" si="10"/>
        <v>745</v>
      </c>
      <c r="F74" s="25">
        <f>5310/D74</f>
        <v>7.375</v>
      </c>
      <c r="G74" s="25">
        <f t="shared" si="13"/>
        <v>5310</v>
      </c>
      <c r="H74" s="25">
        <v>95.49</v>
      </c>
      <c r="I74" s="32">
        <f t="shared" si="14"/>
        <v>17.188199999999998</v>
      </c>
      <c r="J74" s="32">
        <f t="shared" si="6"/>
        <v>112.67819999999999</v>
      </c>
      <c r="K74" s="102">
        <v>936</v>
      </c>
      <c r="L74" s="229">
        <f t="shared" si="11"/>
        <v>-191</v>
      </c>
      <c r="M74" s="32">
        <v>7.38</v>
      </c>
      <c r="N74" s="209">
        <f t="shared" si="12"/>
        <v>6907.68</v>
      </c>
    </row>
    <row r="75" spans="1:14" ht="15.75">
      <c r="A75" s="24" t="s">
        <v>73</v>
      </c>
      <c r="B75" s="121" t="s">
        <v>13</v>
      </c>
      <c r="C75" s="10">
        <v>60</v>
      </c>
      <c r="D75" s="10"/>
      <c r="E75" s="15">
        <f t="shared" si="10"/>
        <v>60</v>
      </c>
      <c r="F75" s="25"/>
      <c r="G75" s="25">
        <f t="shared" si="13"/>
        <v>0</v>
      </c>
      <c r="H75" s="25">
        <v>6.4</v>
      </c>
      <c r="I75" s="32">
        <f t="shared" si="14"/>
        <v>1.1519999999999999</v>
      </c>
      <c r="J75" s="32">
        <f t="shared" si="6"/>
        <v>7.5520000000000005</v>
      </c>
      <c r="K75" s="102">
        <v>56</v>
      </c>
      <c r="L75" s="19">
        <f t="shared" si="11"/>
        <v>4</v>
      </c>
      <c r="M75" s="32">
        <v>7.55</v>
      </c>
      <c r="N75" s="209">
        <f t="shared" si="12"/>
        <v>422.8</v>
      </c>
    </row>
    <row r="76" spans="1:14" ht="15.75">
      <c r="A76" s="24" t="s">
        <v>75</v>
      </c>
      <c r="B76" s="121" t="s">
        <v>31</v>
      </c>
      <c r="C76" s="10">
        <v>23</v>
      </c>
      <c r="D76" s="10"/>
      <c r="E76" s="15">
        <f t="shared" si="10"/>
        <v>23</v>
      </c>
      <c r="F76" s="25"/>
      <c r="G76" s="25">
        <f t="shared" si="13"/>
        <v>0</v>
      </c>
      <c r="H76" s="25">
        <v>105.5</v>
      </c>
      <c r="I76" s="32">
        <f t="shared" si="14"/>
        <v>18.989999999999998</v>
      </c>
      <c r="J76" s="32">
        <f t="shared" si="6"/>
        <v>124.49</v>
      </c>
      <c r="K76" s="102">
        <v>192</v>
      </c>
      <c r="L76" s="229">
        <f t="shared" si="11"/>
        <v>-169</v>
      </c>
      <c r="M76" s="32">
        <v>10.372199999999999</v>
      </c>
      <c r="N76" s="209">
        <f t="shared" si="12"/>
        <v>1991.4623999999999</v>
      </c>
    </row>
    <row r="77" spans="1:14" ht="15.75">
      <c r="A77" s="24" t="s">
        <v>76</v>
      </c>
      <c r="B77" s="121" t="s">
        <v>9</v>
      </c>
      <c r="C77" s="10">
        <v>80</v>
      </c>
      <c r="D77" s="10"/>
      <c r="E77" s="15">
        <f t="shared" si="10"/>
        <v>80</v>
      </c>
      <c r="F77" s="25"/>
      <c r="G77" s="25">
        <f t="shared" si="13"/>
        <v>0</v>
      </c>
      <c r="H77" s="211">
        <v>130</v>
      </c>
      <c r="I77" s="212">
        <f t="shared" si="14"/>
        <v>23.4</v>
      </c>
      <c r="J77" s="212">
        <f t="shared" ref="J77:J120" si="15">I77+H77</f>
        <v>153.4</v>
      </c>
      <c r="K77" s="102">
        <v>72</v>
      </c>
      <c r="L77" s="19">
        <f t="shared" si="11"/>
        <v>8</v>
      </c>
      <c r="M77" s="212">
        <v>153.4</v>
      </c>
      <c r="N77" s="209">
        <f t="shared" si="12"/>
        <v>11044.800000000001</v>
      </c>
    </row>
    <row r="78" spans="1:14" ht="15.75">
      <c r="A78" s="24" t="s">
        <v>80</v>
      </c>
      <c r="B78" s="121" t="s">
        <v>13</v>
      </c>
      <c r="C78" s="10">
        <v>84</v>
      </c>
      <c r="D78" s="10">
        <v>25</v>
      </c>
      <c r="E78" s="15">
        <f t="shared" si="10"/>
        <v>109</v>
      </c>
      <c r="F78" s="25">
        <f>2301/D78</f>
        <v>92.04</v>
      </c>
      <c r="G78" s="25">
        <f t="shared" si="13"/>
        <v>2301</v>
      </c>
      <c r="H78" s="25">
        <v>57.88</v>
      </c>
      <c r="I78" s="32">
        <f t="shared" si="14"/>
        <v>10.4184</v>
      </c>
      <c r="J78" s="32">
        <f t="shared" si="15"/>
        <v>68.298400000000001</v>
      </c>
      <c r="K78" s="102">
        <v>103</v>
      </c>
      <c r="L78" s="19">
        <f t="shared" si="11"/>
        <v>6</v>
      </c>
      <c r="M78" s="32">
        <v>92.04</v>
      </c>
      <c r="N78" s="209">
        <f t="shared" si="12"/>
        <v>9480.1200000000008</v>
      </c>
    </row>
    <row r="79" spans="1:14" ht="15.75">
      <c r="A79" s="24" t="s">
        <v>79</v>
      </c>
      <c r="B79" s="121" t="s">
        <v>13</v>
      </c>
      <c r="C79" s="10">
        <v>57</v>
      </c>
      <c r="D79" s="10">
        <v>60</v>
      </c>
      <c r="E79" s="15">
        <f t="shared" si="10"/>
        <v>117</v>
      </c>
      <c r="F79" s="25">
        <f>2690.4/D79</f>
        <v>44.84</v>
      </c>
      <c r="G79" s="25">
        <f t="shared" si="13"/>
        <v>2690.4</v>
      </c>
      <c r="H79" s="25">
        <v>19.5</v>
      </c>
      <c r="I79" s="32">
        <f t="shared" si="14"/>
        <v>3.51</v>
      </c>
      <c r="J79" s="32">
        <f t="shared" si="15"/>
        <v>23.009999999999998</v>
      </c>
      <c r="K79" s="102">
        <v>102</v>
      </c>
      <c r="L79" s="19">
        <f t="shared" si="11"/>
        <v>15</v>
      </c>
      <c r="M79" s="32">
        <v>44.84</v>
      </c>
      <c r="N79" s="209">
        <f t="shared" si="12"/>
        <v>4573.68</v>
      </c>
    </row>
    <row r="80" spans="1:14" ht="15.75">
      <c r="A80" s="24" t="s">
        <v>78</v>
      </c>
      <c r="B80" s="121" t="s">
        <v>13</v>
      </c>
      <c r="C80" s="10">
        <v>13</v>
      </c>
      <c r="D80" s="10"/>
      <c r="E80" s="15">
        <f t="shared" si="10"/>
        <v>13</v>
      </c>
      <c r="F80" s="25"/>
      <c r="G80" s="25">
        <f t="shared" si="13"/>
        <v>0</v>
      </c>
      <c r="H80" s="25">
        <v>224.99</v>
      </c>
      <c r="I80" s="32">
        <f t="shared" si="14"/>
        <v>40.498199999999997</v>
      </c>
      <c r="J80" s="32">
        <f t="shared" si="15"/>
        <v>265.48820000000001</v>
      </c>
      <c r="K80" s="102">
        <v>11</v>
      </c>
      <c r="L80" s="19">
        <f t="shared" si="11"/>
        <v>2</v>
      </c>
      <c r="M80" s="32">
        <v>265.49</v>
      </c>
      <c r="N80" s="209">
        <f t="shared" si="12"/>
        <v>2920.3900000000003</v>
      </c>
    </row>
    <row r="81" spans="1:14" ht="15.75">
      <c r="A81" s="24" t="s">
        <v>77</v>
      </c>
      <c r="B81" s="121" t="s">
        <v>13</v>
      </c>
      <c r="C81" s="10">
        <v>24</v>
      </c>
      <c r="D81" s="10"/>
      <c r="E81" s="15">
        <f t="shared" si="10"/>
        <v>24</v>
      </c>
      <c r="F81" s="25"/>
      <c r="G81" s="25">
        <f t="shared" si="13"/>
        <v>0</v>
      </c>
      <c r="H81" s="25">
        <v>330.55</v>
      </c>
      <c r="I81" s="32">
        <f t="shared" si="14"/>
        <v>59.499000000000002</v>
      </c>
      <c r="J81" s="32">
        <f t="shared" si="15"/>
        <v>390.04900000000004</v>
      </c>
      <c r="K81" s="102">
        <v>20</v>
      </c>
      <c r="L81" s="19">
        <f t="shared" si="11"/>
        <v>4</v>
      </c>
      <c r="M81" s="32">
        <v>390.05</v>
      </c>
      <c r="N81" s="209">
        <f t="shared" si="12"/>
        <v>7801</v>
      </c>
    </row>
    <row r="82" spans="1:14" ht="15.75">
      <c r="A82" s="70" t="s">
        <v>81</v>
      </c>
      <c r="B82" s="122" t="s">
        <v>9</v>
      </c>
      <c r="C82" s="39">
        <v>1</v>
      </c>
      <c r="D82" s="39"/>
      <c r="E82" s="15">
        <f t="shared" si="10"/>
        <v>1</v>
      </c>
      <c r="F82" s="114"/>
      <c r="G82" s="25">
        <f t="shared" si="13"/>
        <v>0</v>
      </c>
      <c r="H82" s="215">
        <v>120</v>
      </c>
      <c r="I82" s="216">
        <f t="shared" si="14"/>
        <v>21.599999999999998</v>
      </c>
      <c r="J82" s="216">
        <f t="shared" si="15"/>
        <v>141.6</v>
      </c>
      <c r="K82" s="102">
        <v>7</v>
      </c>
      <c r="L82" s="144">
        <f t="shared" si="11"/>
        <v>-6</v>
      </c>
      <c r="M82" s="216">
        <v>141.6</v>
      </c>
      <c r="N82" s="209">
        <f t="shared" si="12"/>
        <v>991.19999999999993</v>
      </c>
    </row>
    <row r="83" spans="1:14" ht="15.75">
      <c r="A83" s="24" t="s">
        <v>165</v>
      </c>
      <c r="B83" s="97" t="s">
        <v>166</v>
      </c>
      <c r="C83" s="97">
        <v>8</v>
      </c>
      <c r="D83" s="97"/>
      <c r="E83" s="15">
        <f t="shared" si="10"/>
        <v>8</v>
      </c>
      <c r="F83" s="115"/>
      <c r="G83" s="25">
        <f t="shared" si="13"/>
        <v>0</v>
      </c>
      <c r="H83" s="217">
        <v>195</v>
      </c>
      <c r="I83" s="217">
        <f t="shared" si="14"/>
        <v>35.1</v>
      </c>
      <c r="J83" s="217">
        <f t="shared" si="15"/>
        <v>230.1</v>
      </c>
      <c r="K83" s="102">
        <v>6</v>
      </c>
      <c r="L83" s="19">
        <f t="shared" si="11"/>
        <v>2</v>
      </c>
      <c r="M83" s="217">
        <v>230.1</v>
      </c>
      <c r="N83" s="209">
        <f t="shared" si="12"/>
        <v>1380.6</v>
      </c>
    </row>
    <row r="84" spans="1:14" ht="15.75">
      <c r="A84" s="120" t="s">
        <v>186</v>
      </c>
      <c r="B84" s="121" t="s">
        <v>13</v>
      </c>
      <c r="C84" s="97"/>
      <c r="D84" s="97">
        <v>4</v>
      </c>
      <c r="E84" s="15">
        <f t="shared" si="10"/>
        <v>4</v>
      </c>
      <c r="F84" s="115">
        <f>15340/D84</f>
        <v>3835</v>
      </c>
      <c r="G84" s="25">
        <f t="shared" si="13"/>
        <v>15340</v>
      </c>
      <c r="H84" s="217"/>
      <c r="I84" s="217"/>
      <c r="J84" s="217"/>
      <c r="K84" s="102">
        <v>4</v>
      </c>
      <c r="L84" s="19">
        <f t="shared" si="11"/>
        <v>0</v>
      </c>
      <c r="M84" s="217">
        <v>3835</v>
      </c>
      <c r="N84" s="209">
        <f t="shared" si="12"/>
        <v>15340</v>
      </c>
    </row>
    <row r="85" spans="1:14" ht="15.75">
      <c r="A85" s="24" t="s">
        <v>82</v>
      </c>
      <c r="B85" s="97" t="s">
        <v>31</v>
      </c>
      <c r="C85" s="97">
        <v>13</v>
      </c>
      <c r="D85" s="97">
        <v>20</v>
      </c>
      <c r="E85" s="15">
        <f t="shared" si="10"/>
        <v>33</v>
      </c>
      <c r="F85" s="115">
        <f>7221.6/20</f>
        <v>361.08000000000004</v>
      </c>
      <c r="G85" s="25">
        <f t="shared" si="13"/>
        <v>7221.6</v>
      </c>
      <c r="H85" s="115">
        <v>321</v>
      </c>
      <c r="I85" s="115">
        <f t="shared" si="14"/>
        <v>57.78</v>
      </c>
      <c r="J85" s="115">
        <f t="shared" si="15"/>
        <v>378.78</v>
      </c>
      <c r="K85" s="102">
        <v>273</v>
      </c>
      <c r="L85" s="230">
        <f t="shared" si="11"/>
        <v>-240</v>
      </c>
      <c r="M85" s="115">
        <v>30.09</v>
      </c>
      <c r="N85" s="209">
        <f t="shared" si="12"/>
        <v>8214.57</v>
      </c>
    </row>
    <row r="86" spans="1:14" ht="15.75">
      <c r="A86" s="52" t="s">
        <v>83</v>
      </c>
      <c r="B86" s="139" t="s">
        <v>13</v>
      </c>
      <c r="C86" s="102">
        <v>60</v>
      </c>
      <c r="D86" s="102">
        <v>15</v>
      </c>
      <c r="E86" s="15">
        <f t="shared" si="10"/>
        <v>75</v>
      </c>
      <c r="F86" s="32">
        <f>(6124.2/15)</f>
        <v>408.28</v>
      </c>
      <c r="G86" s="25">
        <f t="shared" si="13"/>
        <v>6124.2</v>
      </c>
      <c r="H86" s="32">
        <v>23.76</v>
      </c>
      <c r="I86" s="32">
        <f t="shared" si="14"/>
        <v>4.2767999999999997</v>
      </c>
      <c r="J86" s="32">
        <f t="shared" si="15"/>
        <v>28.036799999999999</v>
      </c>
      <c r="K86" s="102">
        <v>192</v>
      </c>
      <c r="L86" s="230">
        <f t="shared" si="11"/>
        <v>-117</v>
      </c>
      <c r="M86" s="32">
        <v>28.04</v>
      </c>
      <c r="N86" s="209">
        <f t="shared" si="12"/>
        <v>5383.68</v>
      </c>
    </row>
    <row r="87" spans="1:14" ht="15.75">
      <c r="A87" s="24" t="s">
        <v>85</v>
      </c>
      <c r="B87" s="121" t="s">
        <v>29</v>
      </c>
      <c r="C87" s="10">
        <v>23</v>
      </c>
      <c r="D87" s="10"/>
      <c r="E87" s="15">
        <f t="shared" si="10"/>
        <v>23</v>
      </c>
      <c r="F87" s="25"/>
      <c r="G87" s="25">
        <f t="shared" si="13"/>
        <v>0</v>
      </c>
      <c r="H87" s="211">
        <v>230</v>
      </c>
      <c r="I87" s="211">
        <f t="shared" si="14"/>
        <v>41.4</v>
      </c>
      <c r="J87" s="211">
        <f t="shared" si="15"/>
        <v>271.39999999999998</v>
      </c>
      <c r="K87" s="102">
        <v>13</v>
      </c>
      <c r="L87" s="19">
        <f t="shared" si="11"/>
        <v>10</v>
      </c>
      <c r="M87" s="211">
        <v>271.39999999999998</v>
      </c>
      <c r="N87" s="209">
        <f t="shared" si="12"/>
        <v>3528.2</v>
      </c>
    </row>
    <row r="88" spans="1:14" ht="15.75">
      <c r="A88" s="24" t="s">
        <v>87</v>
      </c>
      <c r="B88" s="121" t="s">
        <v>13</v>
      </c>
      <c r="C88" s="10">
        <v>27</v>
      </c>
      <c r="D88" s="10"/>
      <c r="E88" s="15">
        <f t="shared" si="10"/>
        <v>27</v>
      </c>
      <c r="F88" s="25"/>
      <c r="G88" s="25">
        <f t="shared" si="13"/>
        <v>0</v>
      </c>
      <c r="H88" s="211">
        <v>90</v>
      </c>
      <c r="I88" s="211">
        <f t="shared" si="14"/>
        <v>16.2</v>
      </c>
      <c r="J88" s="211">
        <f t="shared" si="15"/>
        <v>106.2</v>
      </c>
      <c r="K88" s="102">
        <v>14</v>
      </c>
      <c r="L88" s="19">
        <f t="shared" si="11"/>
        <v>13</v>
      </c>
      <c r="M88" s="211">
        <v>106.2</v>
      </c>
      <c r="N88" s="209">
        <f t="shared" si="12"/>
        <v>1486.8</v>
      </c>
    </row>
    <row r="89" spans="1:14" ht="15.75">
      <c r="A89" s="24" t="s">
        <v>88</v>
      </c>
      <c r="B89" s="121" t="s">
        <v>89</v>
      </c>
      <c r="C89" s="10">
        <v>90</v>
      </c>
      <c r="D89" s="10">
        <v>250</v>
      </c>
      <c r="E89" s="15">
        <f t="shared" si="10"/>
        <v>340</v>
      </c>
      <c r="F89" s="25">
        <f>109150/D89</f>
        <v>436.6</v>
      </c>
      <c r="G89" s="25">
        <f t="shared" si="13"/>
        <v>109150</v>
      </c>
      <c r="H89" s="25">
        <v>375</v>
      </c>
      <c r="I89" s="25">
        <f t="shared" si="14"/>
        <v>67.5</v>
      </c>
      <c r="J89" s="25">
        <f t="shared" si="15"/>
        <v>442.5</v>
      </c>
      <c r="K89" s="102">
        <v>302</v>
      </c>
      <c r="L89" s="19">
        <f t="shared" si="11"/>
        <v>38</v>
      </c>
      <c r="M89" s="25">
        <v>436.6</v>
      </c>
      <c r="N89" s="209">
        <f t="shared" si="12"/>
        <v>131853.20000000001</v>
      </c>
    </row>
    <row r="90" spans="1:14" ht="15.75">
      <c r="A90" s="24" t="s">
        <v>90</v>
      </c>
      <c r="B90" s="121" t="s">
        <v>89</v>
      </c>
      <c r="C90" s="10">
        <v>9</v>
      </c>
      <c r="D90" s="10">
        <v>15</v>
      </c>
      <c r="E90" s="15">
        <f t="shared" si="10"/>
        <v>24</v>
      </c>
      <c r="F90" s="25">
        <f>7611/D90</f>
        <v>507.4</v>
      </c>
      <c r="G90" s="25">
        <f t="shared" si="13"/>
        <v>7611</v>
      </c>
      <c r="H90" s="25">
        <v>360</v>
      </c>
      <c r="I90" s="25">
        <f t="shared" si="14"/>
        <v>64.8</v>
      </c>
      <c r="J90" s="25">
        <f t="shared" si="15"/>
        <v>424.8</v>
      </c>
      <c r="K90" s="102">
        <v>22</v>
      </c>
      <c r="L90" s="19">
        <f t="shared" si="11"/>
        <v>2</v>
      </c>
      <c r="M90" s="25">
        <v>507.4</v>
      </c>
      <c r="N90" s="209">
        <f t="shared" si="12"/>
        <v>11162.8</v>
      </c>
    </row>
    <row r="91" spans="1:14" ht="15.75">
      <c r="A91" s="24" t="s">
        <v>96</v>
      </c>
      <c r="B91" s="121" t="s">
        <v>29</v>
      </c>
      <c r="C91" s="10">
        <v>2</v>
      </c>
      <c r="D91" s="10"/>
      <c r="E91" s="15">
        <f t="shared" si="10"/>
        <v>2</v>
      </c>
      <c r="F91" s="25"/>
      <c r="G91" s="25">
        <f t="shared" si="13"/>
        <v>0</v>
      </c>
      <c r="H91" s="25">
        <v>241.8</v>
      </c>
      <c r="I91" s="25">
        <f t="shared" si="14"/>
        <v>43.524000000000001</v>
      </c>
      <c r="J91" s="25">
        <f t="shared" si="15"/>
        <v>285.32400000000001</v>
      </c>
      <c r="K91" s="102">
        <v>2</v>
      </c>
      <c r="L91" s="19">
        <f t="shared" si="11"/>
        <v>0</v>
      </c>
      <c r="M91" s="25">
        <v>285.32</v>
      </c>
      <c r="N91" s="209">
        <f t="shared" si="12"/>
        <v>570.64</v>
      </c>
    </row>
    <row r="92" spans="1:14" ht="15.75">
      <c r="A92" s="24" t="s">
        <v>95</v>
      </c>
      <c r="B92" s="121" t="s">
        <v>13</v>
      </c>
      <c r="C92" s="10">
        <v>40</v>
      </c>
      <c r="D92" s="10">
        <v>24</v>
      </c>
      <c r="E92" s="15">
        <f t="shared" si="10"/>
        <v>64</v>
      </c>
      <c r="F92" s="25">
        <f>906.24/D92</f>
        <v>37.76</v>
      </c>
      <c r="G92" s="25">
        <f t="shared" si="13"/>
        <v>906.24</v>
      </c>
      <c r="H92" s="25">
        <v>18</v>
      </c>
      <c r="I92" s="25">
        <f t="shared" si="14"/>
        <v>3.2399999999999998</v>
      </c>
      <c r="J92" s="25">
        <f t="shared" si="15"/>
        <v>21.24</v>
      </c>
      <c r="K92" s="102">
        <v>64</v>
      </c>
      <c r="L92" s="19">
        <f t="shared" si="11"/>
        <v>0</v>
      </c>
      <c r="M92" s="25">
        <v>37.76</v>
      </c>
      <c r="N92" s="209">
        <f t="shared" si="12"/>
        <v>2416.64</v>
      </c>
    </row>
    <row r="93" spans="1:14" ht="15.75">
      <c r="A93" s="24" t="s">
        <v>91</v>
      </c>
      <c r="B93" s="121" t="s">
        <v>11</v>
      </c>
      <c r="C93" s="10">
        <v>33</v>
      </c>
      <c r="D93" s="10"/>
      <c r="E93" s="15">
        <f t="shared" si="10"/>
        <v>33</v>
      </c>
      <c r="F93" s="25"/>
      <c r="G93" s="25">
        <f t="shared" si="13"/>
        <v>0</v>
      </c>
      <c r="H93" s="211">
        <v>1525</v>
      </c>
      <c r="I93" s="211">
        <f t="shared" si="14"/>
        <v>274.5</v>
      </c>
      <c r="J93" s="211">
        <f t="shared" si="15"/>
        <v>1799.5</v>
      </c>
      <c r="K93" s="102">
        <v>346</v>
      </c>
      <c r="L93" s="230">
        <f t="shared" si="11"/>
        <v>-313</v>
      </c>
      <c r="M93" s="211">
        <v>149.96</v>
      </c>
      <c r="N93" s="209">
        <f t="shared" si="12"/>
        <v>51886.16</v>
      </c>
    </row>
    <row r="94" spans="1:14" ht="15.75">
      <c r="A94" s="24" t="s">
        <v>92</v>
      </c>
      <c r="B94" s="121" t="s">
        <v>29</v>
      </c>
      <c r="C94" s="10">
        <v>14</v>
      </c>
      <c r="D94" s="10"/>
      <c r="E94" s="15">
        <f t="shared" si="10"/>
        <v>14</v>
      </c>
      <c r="F94" s="25"/>
      <c r="G94" s="25">
        <f t="shared" si="13"/>
        <v>0</v>
      </c>
      <c r="H94" s="211">
        <v>675</v>
      </c>
      <c r="I94" s="211">
        <f t="shared" si="14"/>
        <v>121.5</v>
      </c>
      <c r="J94" s="211">
        <f t="shared" si="15"/>
        <v>796.5</v>
      </c>
      <c r="K94" s="102">
        <v>88</v>
      </c>
      <c r="L94" s="230">
        <f t="shared" si="11"/>
        <v>-74</v>
      </c>
      <c r="M94" s="170">
        <v>132.75</v>
      </c>
      <c r="N94" s="209">
        <f t="shared" si="12"/>
        <v>11682</v>
      </c>
    </row>
    <row r="95" spans="1:14" ht="15.75">
      <c r="A95" s="24" t="s">
        <v>99</v>
      </c>
      <c r="B95" s="121" t="s">
        <v>13</v>
      </c>
      <c r="C95" s="10">
        <v>25</v>
      </c>
      <c r="D95" s="10"/>
      <c r="E95" s="15">
        <f t="shared" si="10"/>
        <v>25</v>
      </c>
      <c r="F95" s="25"/>
      <c r="G95" s="25">
        <f t="shared" si="13"/>
        <v>0</v>
      </c>
      <c r="H95" s="25">
        <v>120</v>
      </c>
      <c r="I95" s="25">
        <f t="shared" si="14"/>
        <v>21.599999999999998</v>
      </c>
      <c r="J95" s="193">
        <f t="shared" si="15"/>
        <v>141.6</v>
      </c>
      <c r="K95" s="102">
        <v>25</v>
      </c>
      <c r="L95" s="19">
        <f t="shared" si="11"/>
        <v>0</v>
      </c>
      <c r="M95" s="115">
        <v>141.6</v>
      </c>
      <c r="N95" s="209">
        <f t="shared" si="12"/>
        <v>3540</v>
      </c>
    </row>
    <row r="96" spans="1:14" ht="15.75">
      <c r="A96" s="120" t="s">
        <v>97</v>
      </c>
      <c r="B96" s="121" t="s">
        <v>89</v>
      </c>
      <c r="C96" s="10">
        <v>1</v>
      </c>
      <c r="D96" s="10">
        <v>12</v>
      </c>
      <c r="E96" s="15">
        <f t="shared" si="10"/>
        <v>13</v>
      </c>
      <c r="F96" s="25">
        <f>23364/D96</f>
        <v>1947</v>
      </c>
      <c r="G96" s="25">
        <f t="shared" si="13"/>
        <v>23364</v>
      </c>
      <c r="H96" s="25"/>
      <c r="I96" s="25"/>
      <c r="J96" s="193"/>
      <c r="K96" s="102">
        <v>13</v>
      </c>
      <c r="L96" s="19">
        <f t="shared" si="11"/>
        <v>0</v>
      </c>
      <c r="M96" s="115">
        <v>1947</v>
      </c>
      <c r="N96" s="209">
        <f t="shared" si="12"/>
        <v>25311</v>
      </c>
    </row>
    <row r="97" spans="1:14" ht="15.75">
      <c r="A97" s="24" t="s">
        <v>146</v>
      </c>
      <c r="B97" s="121" t="s">
        <v>31</v>
      </c>
      <c r="C97" s="10">
        <v>4</v>
      </c>
      <c r="D97" s="10"/>
      <c r="E97" s="15">
        <f t="shared" si="10"/>
        <v>4</v>
      </c>
      <c r="F97" s="25"/>
      <c r="G97" s="25">
        <f t="shared" si="13"/>
        <v>0</v>
      </c>
      <c r="H97" s="25">
        <v>785</v>
      </c>
      <c r="I97" s="25">
        <f t="shared" si="14"/>
        <v>141.29999999999998</v>
      </c>
      <c r="J97" s="193">
        <f t="shared" si="15"/>
        <v>926.3</v>
      </c>
      <c r="K97" s="102">
        <v>109</v>
      </c>
      <c r="L97" s="230">
        <f t="shared" si="11"/>
        <v>-105</v>
      </c>
      <c r="M97" s="115">
        <v>37.052</v>
      </c>
      <c r="N97" s="209">
        <f t="shared" si="12"/>
        <v>4038.6680000000001</v>
      </c>
    </row>
    <row r="98" spans="1:14" ht="15.75">
      <c r="A98" s="24" t="s">
        <v>98</v>
      </c>
      <c r="B98" s="121" t="s">
        <v>31</v>
      </c>
      <c r="C98" s="10">
        <v>13</v>
      </c>
      <c r="D98" s="10"/>
      <c r="E98" s="15">
        <f t="shared" si="10"/>
        <v>13</v>
      </c>
      <c r="F98" s="25"/>
      <c r="G98" s="25">
        <f t="shared" si="13"/>
        <v>0</v>
      </c>
      <c r="H98" s="25">
        <v>912.34</v>
      </c>
      <c r="I98" s="25">
        <f t="shared" si="14"/>
        <v>164.22120000000001</v>
      </c>
      <c r="J98" s="193">
        <f t="shared" si="15"/>
        <v>1076.5612000000001</v>
      </c>
      <c r="K98" s="102">
        <v>325</v>
      </c>
      <c r="L98" s="230">
        <f t="shared" si="11"/>
        <v>-312</v>
      </c>
      <c r="M98" s="115">
        <v>43.058199999999999</v>
      </c>
      <c r="N98" s="209">
        <f t="shared" si="12"/>
        <v>13993.914999999999</v>
      </c>
    </row>
    <row r="99" spans="1:14" ht="15.75">
      <c r="A99" s="24" t="s">
        <v>93</v>
      </c>
      <c r="B99" s="121" t="s">
        <v>13</v>
      </c>
      <c r="C99" s="10">
        <v>19</v>
      </c>
      <c r="D99" s="10"/>
      <c r="E99" s="15">
        <f t="shared" si="10"/>
        <v>19</v>
      </c>
      <c r="F99" s="25"/>
      <c r="G99" s="25">
        <f t="shared" si="13"/>
        <v>0</v>
      </c>
      <c r="H99" s="25">
        <v>360</v>
      </c>
      <c r="I99" s="25">
        <f t="shared" si="14"/>
        <v>64.8</v>
      </c>
      <c r="J99" s="193">
        <f t="shared" si="15"/>
        <v>424.8</v>
      </c>
      <c r="K99" s="102">
        <v>19</v>
      </c>
      <c r="L99" s="19">
        <f t="shared" si="11"/>
        <v>0</v>
      </c>
      <c r="M99" s="115">
        <v>424.8</v>
      </c>
      <c r="N99" s="209">
        <f t="shared" si="12"/>
        <v>8071.2</v>
      </c>
    </row>
    <row r="100" spans="1:14" ht="15.75">
      <c r="A100" s="24" t="s">
        <v>94</v>
      </c>
      <c r="B100" s="121" t="s">
        <v>13</v>
      </c>
      <c r="C100" s="10">
        <v>7</v>
      </c>
      <c r="D100" s="10">
        <v>15</v>
      </c>
      <c r="E100" s="15">
        <f t="shared" si="10"/>
        <v>22</v>
      </c>
      <c r="F100" s="25">
        <f>7788/15</f>
        <v>519.20000000000005</v>
      </c>
      <c r="G100" s="25">
        <f t="shared" si="13"/>
        <v>7788.0000000000009</v>
      </c>
      <c r="H100" s="25">
        <v>495</v>
      </c>
      <c r="I100" s="25">
        <f t="shared" si="14"/>
        <v>89.1</v>
      </c>
      <c r="J100" s="193">
        <f t="shared" si="15"/>
        <v>584.1</v>
      </c>
      <c r="K100" s="102">
        <v>21</v>
      </c>
      <c r="L100" s="19">
        <f t="shared" si="11"/>
        <v>1</v>
      </c>
      <c r="M100" s="115">
        <v>519.20000000000005</v>
      </c>
      <c r="N100" s="209">
        <f t="shared" si="12"/>
        <v>10903.2</v>
      </c>
    </row>
    <row r="101" spans="1:14" ht="15.75">
      <c r="A101" s="120" t="s">
        <v>187</v>
      </c>
      <c r="B101" s="121" t="s">
        <v>13</v>
      </c>
      <c r="C101" s="121"/>
      <c r="D101" s="10">
        <v>2</v>
      </c>
      <c r="E101" s="15">
        <f t="shared" si="10"/>
        <v>2</v>
      </c>
      <c r="F101" s="25">
        <f>1700/D101</f>
        <v>850</v>
      </c>
      <c r="G101" s="25">
        <f t="shared" si="13"/>
        <v>1700</v>
      </c>
      <c r="H101" s="25"/>
      <c r="I101" s="25"/>
      <c r="J101" s="193"/>
      <c r="K101" s="102">
        <v>2</v>
      </c>
      <c r="L101" s="19">
        <f t="shared" si="11"/>
        <v>0</v>
      </c>
      <c r="M101" s="115">
        <v>850</v>
      </c>
      <c r="N101" s="209">
        <f t="shared" si="12"/>
        <v>1700</v>
      </c>
    </row>
    <row r="102" spans="1:14" ht="15.75">
      <c r="A102" s="120" t="s">
        <v>183</v>
      </c>
      <c r="B102" s="121" t="s">
        <v>13</v>
      </c>
      <c r="C102" s="122"/>
      <c r="D102" s="10">
        <v>2</v>
      </c>
      <c r="E102" s="15">
        <f t="shared" si="10"/>
        <v>2</v>
      </c>
      <c r="F102" s="25">
        <f>5200/D102</f>
        <v>2600</v>
      </c>
      <c r="G102" s="25">
        <f t="shared" si="13"/>
        <v>5200</v>
      </c>
      <c r="H102" s="25"/>
      <c r="I102" s="25"/>
      <c r="J102" s="193"/>
      <c r="K102" s="102">
        <v>2</v>
      </c>
      <c r="L102" s="19">
        <f t="shared" si="11"/>
        <v>0</v>
      </c>
      <c r="M102" s="115">
        <v>2600</v>
      </c>
      <c r="N102" s="209">
        <f t="shared" si="12"/>
        <v>5200</v>
      </c>
    </row>
    <row r="103" spans="1:14" ht="15.75">
      <c r="A103" s="120" t="s">
        <v>198</v>
      </c>
      <c r="B103" s="121" t="s">
        <v>13</v>
      </c>
      <c r="C103" s="97"/>
      <c r="D103" s="121"/>
      <c r="E103" s="15">
        <f t="shared" si="10"/>
        <v>0</v>
      </c>
      <c r="F103" s="25"/>
      <c r="G103" s="25"/>
      <c r="H103" s="25"/>
      <c r="I103" s="25"/>
      <c r="J103" s="193"/>
      <c r="K103" s="102">
        <v>3</v>
      </c>
      <c r="L103" s="144">
        <f t="shared" si="11"/>
        <v>-3</v>
      </c>
      <c r="M103" s="115">
        <v>1652</v>
      </c>
      <c r="N103" s="209">
        <f t="shared" si="12"/>
        <v>4956</v>
      </c>
    </row>
    <row r="104" spans="1:14" ht="15.75">
      <c r="A104" s="24" t="s">
        <v>145</v>
      </c>
      <c r="B104" s="97" t="s">
        <v>29</v>
      </c>
      <c r="C104" s="139">
        <v>4</v>
      </c>
      <c r="D104" s="10"/>
      <c r="E104" s="15">
        <f t="shared" si="10"/>
        <v>4</v>
      </c>
      <c r="F104" s="25"/>
      <c r="G104" s="25">
        <f t="shared" si="13"/>
        <v>0</v>
      </c>
      <c r="H104" s="25">
        <v>260</v>
      </c>
      <c r="I104" s="25">
        <f t="shared" si="14"/>
        <v>46.8</v>
      </c>
      <c r="J104" s="193">
        <f t="shared" si="15"/>
        <v>306.8</v>
      </c>
      <c r="K104" s="102">
        <v>74</v>
      </c>
      <c r="L104" s="229">
        <f t="shared" si="11"/>
        <v>-70</v>
      </c>
      <c r="M104" s="115">
        <v>12.78</v>
      </c>
      <c r="N104" s="209">
        <f t="shared" si="12"/>
        <v>945.71999999999991</v>
      </c>
    </row>
    <row r="105" spans="1:14" ht="15.75">
      <c r="A105" s="24" t="s">
        <v>102</v>
      </c>
      <c r="B105" s="97" t="s">
        <v>13</v>
      </c>
      <c r="C105" s="121">
        <v>20</v>
      </c>
      <c r="D105" s="10"/>
      <c r="E105" s="15">
        <f t="shared" si="10"/>
        <v>20</v>
      </c>
      <c r="F105" s="25"/>
      <c r="G105" s="25">
        <f t="shared" si="13"/>
        <v>0</v>
      </c>
      <c r="H105" s="25">
        <v>84</v>
      </c>
      <c r="I105" s="25">
        <f t="shared" si="14"/>
        <v>15.12</v>
      </c>
      <c r="J105" s="219">
        <f t="shared" si="15"/>
        <v>99.12</v>
      </c>
      <c r="K105" s="102">
        <v>7</v>
      </c>
      <c r="L105" s="19">
        <f t="shared" si="11"/>
        <v>13</v>
      </c>
      <c r="M105" s="115">
        <v>99.1</v>
      </c>
      <c r="N105" s="209">
        <f t="shared" si="12"/>
        <v>693.69999999999993</v>
      </c>
    </row>
    <row r="106" spans="1:14" ht="15.75">
      <c r="A106" s="24" t="s">
        <v>103</v>
      </c>
      <c r="B106" s="97" t="s">
        <v>29</v>
      </c>
      <c r="C106" s="122">
        <v>7</v>
      </c>
      <c r="D106" s="39"/>
      <c r="E106" s="15">
        <f t="shared" si="10"/>
        <v>7</v>
      </c>
      <c r="F106" s="114"/>
      <c r="G106" s="25">
        <f t="shared" si="13"/>
        <v>0</v>
      </c>
      <c r="H106" s="114">
        <v>50</v>
      </c>
      <c r="I106" s="219">
        <f t="shared" si="14"/>
        <v>9</v>
      </c>
      <c r="J106" s="220">
        <f t="shared" si="15"/>
        <v>59</v>
      </c>
      <c r="K106" s="102">
        <v>7</v>
      </c>
      <c r="L106" s="19">
        <f t="shared" si="11"/>
        <v>0</v>
      </c>
      <c r="M106" s="115">
        <v>59</v>
      </c>
      <c r="N106" s="209">
        <f t="shared" si="12"/>
        <v>413</v>
      </c>
    </row>
    <row r="107" spans="1:14" ht="15.75">
      <c r="A107" s="24" t="s">
        <v>100</v>
      </c>
      <c r="B107" s="97" t="s">
        <v>29</v>
      </c>
      <c r="C107" s="121">
        <v>2</v>
      </c>
      <c r="D107" s="10">
        <v>60</v>
      </c>
      <c r="E107" s="15">
        <f t="shared" si="10"/>
        <v>62</v>
      </c>
      <c r="F107" s="25">
        <f>2265.6/D107</f>
        <v>37.76</v>
      </c>
      <c r="G107" s="25">
        <f t="shared" si="13"/>
        <v>2265.6</v>
      </c>
      <c r="H107" s="25">
        <v>282</v>
      </c>
      <c r="I107" s="25">
        <f t="shared" si="14"/>
        <v>50.76</v>
      </c>
      <c r="J107" s="25">
        <f t="shared" si="15"/>
        <v>332.76</v>
      </c>
      <c r="K107" s="102">
        <v>54</v>
      </c>
      <c r="L107" s="19">
        <f t="shared" si="11"/>
        <v>8</v>
      </c>
      <c r="M107" s="32">
        <v>37.76</v>
      </c>
      <c r="N107" s="209">
        <f t="shared" si="12"/>
        <v>2039.04</v>
      </c>
    </row>
    <row r="108" spans="1:14" ht="15.75">
      <c r="A108" s="52" t="s">
        <v>154</v>
      </c>
      <c r="B108" s="139" t="s">
        <v>13</v>
      </c>
      <c r="C108" s="10">
        <v>20</v>
      </c>
      <c r="D108" s="10"/>
      <c r="E108" s="15">
        <f t="shared" si="10"/>
        <v>20</v>
      </c>
      <c r="F108" s="25"/>
      <c r="G108" s="25">
        <f t="shared" si="13"/>
        <v>0</v>
      </c>
      <c r="H108" s="25">
        <v>17.63</v>
      </c>
      <c r="I108" s="25">
        <f t="shared" si="14"/>
        <v>3.1733999999999996</v>
      </c>
      <c r="J108" s="25">
        <f t="shared" si="15"/>
        <v>20.8034</v>
      </c>
      <c r="K108" s="102">
        <v>20</v>
      </c>
      <c r="L108" s="19">
        <f t="shared" si="11"/>
        <v>0</v>
      </c>
      <c r="M108" s="25">
        <v>20.8</v>
      </c>
      <c r="N108" s="209">
        <f t="shared" si="12"/>
        <v>416</v>
      </c>
    </row>
    <row r="109" spans="1:14" ht="15.75">
      <c r="A109" s="120" t="s">
        <v>184</v>
      </c>
      <c r="B109" s="121" t="s">
        <v>13</v>
      </c>
      <c r="C109" s="10"/>
      <c r="D109" s="10">
        <v>3</v>
      </c>
      <c r="E109" s="15">
        <f t="shared" si="10"/>
        <v>3</v>
      </c>
      <c r="F109" s="25">
        <f>6195/D109</f>
        <v>2065</v>
      </c>
      <c r="G109" s="25">
        <f t="shared" si="13"/>
        <v>6195</v>
      </c>
      <c r="H109" s="25"/>
      <c r="I109" s="25"/>
      <c r="J109" s="25"/>
      <c r="K109" s="102">
        <v>3</v>
      </c>
      <c r="L109" s="19">
        <f t="shared" si="11"/>
        <v>0</v>
      </c>
      <c r="M109" s="25">
        <v>2065</v>
      </c>
      <c r="N109" s="209">
        <f t="shared" si="12"/>
        <v>6195</v>
      </c>
    </row>
    <row r="110" spans="1:14" ht="15.75">
      <c r="A110" s="52" t="s">
        <v>105</v>
      </c>
      <c r="B110" s="121" t="s">
        <v>13</v>
      </c>
      <c r="C110" s="10">
        <v>24</v>
      </c>
      <c r="D110" s="10">
        <v>20</v>
      </c>
      <c r="E110" s="15">
        <f t="shared" si="10"/>
        <v>44</v>
      </c>
      <c r="F110" s="25">
        <f>1534/D110</f>
        <v>76.7</v>
      </c>
      <c r="G110" s="25">
        <f t="shared" si="13"/>
        <v>1534</v>
      </c>
      <c r="H110" s="25">
        <v>34.020000000000003</v>
      </c>
      <c r="I110" s="25">
        <f t="shared" ref="I110:I128" si="16">+H110*18%</f>
        <v>6.1236000000000006</v>
      </c>
      <c r="J110" s="25">
        <f t="shared" si="15"/>
        <v>40.143600000000006</v>
      </c>
      <c r="K110" s="102">
        <v>30</v>
      </c>
      <c r="L110" s="19">
        <f t="shared" si="11"/>
        <v>14</v>
      </c>
      <c r="M110" s="25">
        <v>76.7</v>
      </c>
      <c r="N110" s="209">
        <f t="shared" si="12"/>
        <v>2301</v>
      </c>
    </row>
    <row r="111" spans="1:14" ht="15.75">
      <c r="A111" s="24" t="s">
        <v>107</v>
      </c>
      <c r="B111" s="121" t="s">
        <v>31</v>
      </c>
      <c r="C111" s="10">
        <v>8</v>
      </c>
      <c r="D111" s="10">
        <v>24</v>
      </c>
      <c r="E111" s="15">
        <f t="shared" si="10"/>
        <v>32</v>
      </c>
      <c r="F111" s="25">
        <f>424.8/D111</f>
        <v>17.7</v>
      </c>
      <c r="G111" s="25">
        <f t="shared" si="13"/>
        <v>424.79999999999995</v>
      </c>
      <c r="H111" s="25">
        <v>156</v>
      </c>
      <c r="I111" s="25">
        <f t="shared" si="16"/>
        <v>28.08</v>
      </c>
      <c r="J111" s="25">
        <f t="shared" si="15"/>
        <v>184.07999999999998</v>
      </c>
      <c r="K111" s="102">
        <v>108</v>
      </c>
      <c r="L111" s="229">
        <f t="shared" si="11"/>
        <v>-76</v>
      </c>
      <c r="M111" s="25">
        <v>17.7</v>
      </c>
      <c r="N111" s="209">
        <f t="shared" si="12"/>
        <v>1911.6</v>
      </c>
    </row>
    <row r="112" spans="1:14" ht="15.75">
      <c r="A112" s="24" t="s">
        <v>106</v>
      </c>
      <c r="B112" s="121" t="s">
        <v>13</v>
      </c>
      <c r="C112" s="10">
        <v>60</v>
      </c>
      <c r="D112" s="10"/>
      <c r="E112" s="15">
        <f t="shared" si="10"/>
        <v>60</v>
      </c>
      <c r="F112" s="25"/>
      <c r="G112" s="25">
        <f t="shared" si="13"/>
        <v>0</v>
      </c>
      <c r="H112" s="25">
        <v>7</v>
      </c>
      <c r="I112" s="25">
        <f t="shared" si="16"/>
        <v>1.26</v>
      </c>
      <c r="J112" s="25">
        <f t="shared" si="15"/>
        <v>8.26</v>
      </c>
      <c r="K112" s="102">
        <v>61</v>
      </c>
      <c r="L112" s="19">
        <f t="shared" si="11"/>
        <v>-1</v>
      </c>
      <c r="M112" s="25">
        <v>8.26</v>
      </c>
      <c r="N112" s="209">
        <f t="shared" si="12"/>
        <v>503.86</v>
      </c>
    </row>
    <row r="113" spans="1:14" ht="15.75">
      <c r="A113" s="24" t="s">
        <v>108</v>
      </c>
      <c r="B113" s="121" t="s">
        <v>13</v>
      </c>
      <c r="C113" s="10">
        <v>107</v>
      </c>
      <c r="D113" s="10"/>
      <c r="E113" s="15">
        <f t="shared" si="10"/>
        <v>107</v>
      </c>
      <c r="F113" s="25"/>
      <c r="G113" s="25">
        <f t="shared" si="13"/>
        <v>0</v>
      </c>
      <c r="H113" s="25">
        <v>68.180000000000007</v>
      </c>
      <c r="I113" s="25">
        <f t="shared" si="16"/>
        <v>12.272400000000001</v>
      </c>
      <c r="J113" s="25">
        <f t="shared" si="15"/>
        <v>80.452400000000011</v>
      </c>
      <c r="K113" s="102">
        <v>201</v>
      </c>
      <c r="L113" s="144">
        <f t="shared" si="11"/>
        <v>-94</v>
      </c>
      <c r="M113" s="25">
        <v>80.45</v>
      </c>
      <c r="N113" s="209">
        <f t="shared" si="12"/>
        <v>16170.45</v>
      </c>
    </row>
    <row r="114" spans="1:14" ht="15.75">
      <c r="A114" s="24" t="s">
        <v>111</v>
      </c>
      <c r="B114" s="121" t="s">
        <v>29</v>
      </c>
      <c r="C114" s="30">
        <v>20</v>
      </c>
      <c r="D114" s="30"/>
      <c r="E114" s="15">
        <f t="shared" si="10"/>
        <v>20</v>
      </c>
      <c r="F114" s="116"/>
      <c r="G114" s="25">
        <f t="shared" si="13"/>
        <v>0</v>
      </c>
      <c r="H114" s="211">
        <v>1150</v>
      </c>
      <c r="I114" s="211">
        <f t="shared" si="16"/>
        <v>207</v>
      </c>
      <c r="J114" s="211">
        <f t="shared" si="15"/>
        <v>1357</v>
      </c>
      <c r="K114" s="102">
        <v>227</v>
      </c>
      <c r="L114" s="229">
        <f t="shared" si="11"/>
        <v>-207</v>
      </c>
      <c r="M114" s="211">
        <v>271.39999999999998</v>
      </c>
      <c r="N114" s="209">
        <f>K114*M114</f>
        <v>61607.799999999996</v>
      </c>
    </row>
    <row r="115" spans="1:14" ht="15.75">
      <c r="A115" s="24" t="s">
        <v>113</v>
      </c>
      <c r="B115" s="121" t="s">
        <v>29</v>
      </c>
      <c r="C115" s="30">
        <v>4</v>
      </c>
      <c r="D115" s="30"/>
      <c r="E115" s="15">
        <f t="shared" si="10"/>
        <v>4</v>
      </c>
      <c r="F115" s="116"/>
      <c r="G115" s="25">
        <f t="shared" si="13"/>
        <v>0</v>
      </c>
      <c r="H115" s="211">
        <v>125</v>
      </c>
      <c r="I115" s="211">
        <f t="shared" si="16"/>
        <v>22.5</v>
      </c>
      <c r="J115" s="211">
        <f t="shared" si="15"/>
        <v>147.5</v>
      </c>
      <c r="K115" s="102">
        <v>100</v>
      </c>
      <c r="L115" s="229">
        <f t="shared" si="11"/>
        <v>-96</v>
      </c>
      <c r="M115" s="211">
        <v>147.5</v>
      </c>
      <c r="N115" s="209">
        <f t="shared" si="12"/>
        <v>14750</v>
      </c>
    </row>
    <row r="116" spans="1:14" ht="15.75">
      <c r="A116" s="24" t="s">
        <v>115</v>
      </c>
      <c r="B116" s="121" t="s">
        <v>13</v>
      </c>
      <c r="C116" s="69">
        <v>1916</v>
      </c>
      <c r="D116" s="69"/>
      <c r="E116" s="15">
        <f t="shared" si="10"/>
        <v>1916</v>
      </c>
      <c r="F116" s="25"/>
      <c r="G116" s="25">
        <f t="shared" si="13"/>
        <v>0</v>
      </c>
      <c r="H116" s="25">
        <v>1.75</v>
      </c>
      <c r="I116" s="25">
        <f t="shared" si="16"/>
        <v>0.315</v>
      </c>
      <c r="J116" s="25">
        <f t="shared" si="15"/>
        <v>2.0649999999999999</v>
      </c>
      <c r="K116" s="102">
        <v>1704</v>
      </c>
      <c r="L116" s="19">
        <f t="shared" si="11"/>
        <v>212</v>
      </c>
      <c r="M116" s="25">
        <v>2.0699999999999998</v>
      </c>
      <c r="N116" s="209">
        <f t="shared" si="12"/>
        <v>3527.2799999999997</v>
      </c>
    </row>
    <row r="117" spans="1:14" ht="15.75">
      <c r="A117" s="24" t="s">
        <v>117</v>
      </c>
      <c r="B117" s="121" t="s">
        <v>13</v>
      </c>
      <c r="C117" s="10">
        <v>750</v>
      </c>
      <c r="D117" s="10"/>
      <c r="E117" s="15">
        <f t="shared" si="10"/>
        <v>750</v>
      </c>
      <c r="F117" s="25"/>
      <c r="G117" s="25">
        <f t="shared" si="13"/>
        <v>0</v>
      </c>
      <c r="H117" s="25">
        <v>6.3</v>
      </c>
      <c r="I117" s="25">
        <f t="shared" si="16"/>
        <v>1.1339999999999999</v>
      </c>
      <c r="J117" s="25">
        <f t="shared" si="15"/>
        <v>7.4339999999999993</v>
      </c>
      <c r="K117" s="102">
        <v>965</v>
      </c>
      <c r="L117" s="144">
        <f t="shared" si="11"/>
        <v>-215</v>
      </c>
      <c r="M117" s="25">
        <v>7.43</v>
      </c>
      <c r="N117" s="209">
        <f t="shared" si="12"/>
        <v>7169.95</v>
      </c>
    </row>
    <row r="118" spans="1:14" ht="15.75">
      <c r="A118" s="24" t="s">
        <v>118</v>
      </c>
      <c r="B118" s="121" t="s">
        <v>13</v>
      </c>
      <c r="C118" s="10">
        <v>456</v>
      </c>
      <c r="D118" s="10"/>
      <c r="E118" s="15">
        <f t="shared" si="10"/>
        <v>456</v>
      </c>
      <c r="F118" s="25"/>
      <c r="G118" s="25">
        <f t="shared" si="13"/>
        <v>0</v>
      </c>
      <c r="H118" s="25">
        <v>6.52</v>
      </c>
      <c r="I118" s="25">
        <f t="shared" si="16"/>
        <v>1.1736</v>
      </c>
      <c r="J118" s="25">
        <f t="shared" si="15"/>
        <v>7.6936</v>
      </c>
      <c r="K118" s="102">
        <v>750</v>
      </c>
      <c r="L118" s="144">
        <f t="shared" si="11"/>
        <v>-294</v>
      </c>
      <c r="M118" s="25">
        <v>7.69</v>
      </c>
      <c r="N118" s="209">
        <f t="shared" si="12"/>
        <v>5767.5</v>
      </c>
    </row>
    <row r="119" spans="1:14" ht="15.75">
      <c r="A119" s="24" t="s">
        <v>119</v>
      </c>
      <c r="B119" s="121" t="s">
        <v>13</v>
      </c>
      <c r="C119" s="10">
        <v>350</v>
      </c>
      <c r="D119" s="10"/>
      <c r="E119" s="15">
        <f t="shared" si="10"/>
        <v>350</v>
      </c>
      <c r="F119" s="25"/>
      <c r="G119" s="25">
        <f t="shared" si="13"/>
        <v>0</v>
      </c>
      <c r="H119" s="25">
        <v>4.5999999999999996</v>
      </c>
      <c r="I119" s="25">
        <f t="shared" si="16"/>
        <v>0.82799999999999996</v>
      </c>
      <c r="J119" s="25">
        <f t="shared" si="15"/>
        <v>5.4279999999999999</v>
      </c>
      <c r="K119" s="102">
        <v>1175</v>
      </c>
      <c r="L119" s="144">
        <f t="shared" si="11"/>
        <v>-825</v>
      </c>
      <c r="M119" s="25">
        <v>5.43</v>
      </c>
      <c r="N119" s="209">
        <f t="shared" si="12"/>
        <v>6380.25</v>
      </c>
    </row>
    <row r="120" spans="1:14" ht="15.75">
      <c r="A120" s="56" t="s">
        <v>155</v>
      </c>
      <c r="B120" s="121" t="s">
        <v>13</v>
      </c>
      <c r="C120" s="10">
        <v>650</v>
      </c>
      <c r="D120" s="10"/>
      <c r="E120" s="15">
        <f t="shared" si="10"/>
        <v>650</v>
      </c>
      <c r="F120" s="25"/>
      <c r="G120" s="25">
        <f t="shared" si="13"/>
        <v>0</v>
      </c>
      <c r="H120" s="25">
        <v>1.75</v>
      </c>
      <c r="I120" s="25">
        <f t="shared" si="16"/>
        <v>0.315</v>
      </c>
      <c r="J120" s="25">
        <f t="shared" si="15"/>
        <v>2.0649999999999999</v>
      </c>
      <c r="K120" s="102">
        <v>600</v>
      </c>
      <c r="L120" s="19">
        <f t="shared" si="11"/>
        <v>50</v>
      </c>
      <c r="M120" s="25">
        <v>2.0699999999999998</v>
      </c>
      <c r="N120" s="209">
        <f t="shared" si="12"/>
        <v>1242</v>
      </c>
    </row>
    <row r="121" spans="1:14" ht="15.75">
      <c r="A121" s="120" t="s">
        <v>175</v>
      </c>
      <c r="B121" s="121" t="s">
        <v>13</v>
      </c>
      <c r="C121" s="10"/>
      <c r="D121" s="10">
        <v>1000</v>
      </c>
      <c r="E121" s="15">
        <f t="shared" si="10"/>
        <v>1000</v>
      </c>
      <c r="F121" s="25">
        <f>7670/D121</f>
        <v>7.67</v>
      </c>
      <c r="G121" s="25">
        <f t="shared" si="13"/>
        <v>7670</v>
      </c>
      <c r="H121" s="25"/>
      <c r="I121" s="25"/>
      <c r="J121" s="25"/>
      <c r="K121" s="102">
        <v>893</v>
      </c>
      <c r="L121" s="19">
        <f t="shared" si="11"/>
        <v>107</v>
      </c>
      <c r="M121" s="25">
        <v>7.67</v>
      </c>
      <c r="N121" s="209">
        <f t="shared" si="12"/>
        <v>6849.3099999999995</v>
      </c>
    </row>
    <row r="122" spans="1:14" ht="15.75">
      <c r="A122" s="120" t="s">
        <v>174</v>
      </c>
      <c r="B122" s="121" t="s">
        <v>13</v>
      </c>
      <c r="C122" s="10"/>
      <c r="D122" s="10">
        <v>1000</v>
      </c>
      <c r="E122" s="15">
        <f t="shared" si="10"/>
        <v>1000</v>
      </c>
      <c r="F122" s="25">
        <f>8850/D122</f>
        <v>8.85</v>
      </c>
      <c r="G122" s="25">
        <f t="shared" si="13"/>
        <v>8850</v>
      </c>
      <c r="H122" s="25"/>
      <c r="I122" s="25"/>
      <c r="J122" s="25"/>
      <c r="K122" s="102">
        <v>1000</v>
      </c>
      <c r="L122" s="19">
        <f t="shared" si="11"/>
        <v>0</v>
      </c>
      <c r="M122" s="25">
        <v>8.85</v>
      </c>
      <c r="N122" s="209">
        <f t="shared" si="12"/>
        <v>8850</v>
      </c>
    </row>
    <row r="123" spans="1:14" ht="15.75">
      <c r="A123" s="24" t="s">
        <v>121</v>
      </c>
      <c r="B123" s="121" t="s">
        <v>13</v>
      </c>
      <c r="C123" s="10">
        <v>6</v>
      </c>
      <c r="D123" s="10"/>
      <c r="E123" s="15">
        <f t="shared" si="10"/>
        <v>6</v>
      </c>
      <c r="F123" s="25"/>
      <c r="G123" s="25">
        <f t="shared" si="13"/>
        <v>0</v>
      </c>
      <c r="H123" s="211">
        <v>130</v>
      </c>
      <c r="I123" s="211">
        <f t="shared" si="16"/>
        <v>23.4</v>
      </c>
      <c r="J123" s="211">
        <f t="shared" ref="J123:J148" si="17">I123+H123</f>
        <v>153.4</v>
      </c>
      <c r="K123" s="102">
        <v>6</v>
      </c>
      <c r="L123" s="19">
        <f t="shared" si="11"/>
        <v>0</v>
      </c>
      <c r="M123" s="211">
        <v>153.4</v>
      </c>
      <c r="N123" s="209">
        <f t="shared" si="12"/>
        <v>920.40000000000009</v>
      </c>
    </row>
    <row r="124" spans="1:14" ht="15.75">
      <c r="A124" s="24" t="s">
        <v>120</v>
      </c>
      <c r="B124" s="121" t="s">
        <v>13</v>
      </c>
      <c r="C124" s="30">
        <v>6</v>
      </c>
      <c r="D124" s="30"/>
      <c r="E124" s="15">
        <f t="shared" si="10"/>
        <v>6</v>
      </c>
      <c r="F124" s="116"/>
      <c r="G124" s="25">
        <f t="shared" si="13"/>
        <v>0</v>
      </c>
      <c r="H124" s="211">
        <v>750</v>
      </c>
      <c r="I124" s="211">
        <f t="shared" si="16"/>
        <v>135</v>
      </c>
      <c r="J124" s="211">
        <f t="shared" si="17"/>
        <v>885</v>
      </c>
      <c r="K124" s="102">
        <v>6</v>
      </c>
      <c r="L124" s="19">
        <f t="shared" si="11"/>
        <v>0</v>
      </c>
      <c r="M124" s="211">
        <v>885</v>
      </c>
      <c r="N124" s="209">
        <f t="shared" si="12"/>
        <v>5310</v>
      </c>
    </row>
    <row r="125" spans="1:14" ht="15.75">
      <c r="A125" s="24" t="s">
        <v>122</v>
      </c>
      <c r="B125" s="121" t="s">
        <v>13</v>
      </c>
      <c r="C125" s="10">
        <v>5</v>
      </c>
      <c r="D125" s="10"/>
      <c r="E125" s="15">
        <f t="shared" si="10"/>
        <v>5</v>
      </c>
      <c r="F125" s="25"/>
      <c r="G125" s="25">
        <f t="shared" si="13"/>
        <v>0</v>
      </c>
      <c r="H125" s="25">
        <v>90</v>
      </c>
      <c r="I125" s="25">
        <f t="shared" si="16"/>
        <v>16.2</v>
      </c>
      <c r="J125" s="25">
        <f t="shared" si="17"/>
        <v>106.2</v>
      </c>
      <c r="K125" s="102">
        <v>5</v>
      </c>
      <c r="L125" s="19">
        <f t="shared" si="11"/>
        <v>0</v>
      </c>
      <c r="M125" s="25">
        <v>106.2</v>
      </c>
      <c r="N125" s="209">
        <f t="shared" si="12"/>
        <v>531</v>
      </c>
    </row>
    <row r="126" spans="1:14" ht="15.75">
      <c r="A126" s="24" t="s">
        <v>123</v>
      </c>
      <c r="B126" s="121" t="s">
        <v>13</v>
      </c>
      <c r="C126" s="10">
        <v>12</v>
      </c>
      <c r="D126" s="10">
        <v>20</v>
      </c>
      <c r="E126" s="15">
        <f t="shared" si="10"/>
        <v>32</v>
      </c>
      <c r="F126" s="25">
        <f>8496/D126</f>
        <v>424.8</v>
      </c>
      <c r="G126" s="25">
        <f t="shared" si="13"/>
        <v>8496</v>
      </c>
      <c r="H126" s="25">
        <v>211.34</v>
      </c>
      <c r="I126" s="25">
        <f t="shared" si="16"/>
        <v>38.041199999999996</v>
      </c>
      <c r="J126" s="25">
        <f t="shared" si="17"/>
        <v>249.38120000000001</v>
      </c>
      <c r="K126" s="102">
        <v>31</v>
      </c>
      <c r="L126" s="19">
        <f t="shared" si="11"/>
        <v>1</v>
      </c>
      <c r="M126" s="25">
        <v>424.8</v>
      </c>
      <c r="N126" s="209">
        <f t="shared" si="12"/>
        <v>13168.800000000001</v>
      </c>
    </row>
    <row r="127" spans="1:14" ht="15.75">
      <c r="A127" s="24" t="s">
        <v>124</v>
      </c>
      <c r="B127" s="121" t="s">
        <v>13</v>
      </c>
      <c r="C127" s="10">
        <v>55</v>
      </c>
      <c r="D127" s="10">
        <v>130</v>
      </c>
      <c r="E127" s="15">
        <f t="shared" ref="E127:E148" si="18">C127+D127</f>
        <v>185</v>
      </c>
      <c r="F127" s="25">
        <f>13039/130</f>
        <v>100.3</v>
      </c>
      <c r="G127" s="25">
        <f t="shared" si="13"/>
        <v>13039</v>
      </c>
      <c r="H127" s="25">
        <v>95.49</v>
      </c>
      <c r="I127" s="25">
        <f t="shared" si="16"/>
        <v>17.188199999999998</v>
      </c>
      <c r="J127" s="25">
        <f t="shared" si="17"/>
        <v>112.67819999999999</v>
      </c>
      <c r="K127" s="102">
        <v>175</v>
      </c>
      <c r="L127" s="19">
        <f t="shared" ref="L127:L148" si="19">E127-K127</f>
        <v>10</v>
      </c>
      <c r="M127" s="25">
        <v>100.3</v>
      </c>
      <c r="N127" s="209">
        <f t="shared" si="12"/>
        <v>17552.5</v>
      </c>
    </row>
    <row r="128" spans="1:14" ht="15.75">
      <c r="A128" s="24" t="s">
        <v>125</v>
      </c>
      <c r="B128" s="121" t="s">
        <v>13</v>
      </c>
      <c r="C128" s="10">
        <v>14</v>
      </c>
      <c r="D128" s="10"/>
      <c r="E128" s="15">
        <f t="shared" si="18"/>
        <v>14</v>
      </c>
      <c r="F128" s="25"/>
      <c r="G128" s="25">
        <f t="shared" si="13"/>
        <v>0</v>
      </c>
      <c r="H128" s="25">
        <v>281.38</v>
      </c>
      <c r="I128" s="25">
        <f t="shared" si="16"/>
        <v>50.648399999999995</v>
      </c>
      <c r="J128" s="25">
        <f t="shared" si="17"/>
        <v>332.02839999999998</v>
      </c>
      <c r="K128" s="102">
        <v>14</v>
      </c>
      <c r="L128" s="19">
        <f t="shared" si="19"/>
        <v>0</v>
      </c>
      <c r="M128" s="25">
        <v>332.03</v>
      </c>
      <c r="N128" s="209">
        <f t="shared" ref="N128:N148" si="20">K128*M128</f>
        <v>4648.42</v>
      </c>
    </row>
    <row r="129" spans="1:14" ht="15.75">
      <c r="A129" s="120" t="s">
        <v>179</v>
      </c>
      <c r="B129" s="121" t="s">
        <v>13</v>
      </c>
      <c r="C129" s="10"/>
      <c r="D129" s="10">
        <v>20</v>
      </c>
      <c r="E129" s="15">
        <f t="shared" si="18"/>
        <v>20</v>
      </c>
      <c r="F129" s="25">
        <f>22184/D129</f>
        <v>1109.2</v>
      </c>
      <c r="G129" s="25">
        <f t="shared" si="13"/>
        <v>22184</v>
      </c>
      <c r="H129" s="25"/>
      <c r="I129" s="25"/>
      <c r="J129" s="25"/>
      <c r="K129" s="102">
        <v>20</v>
      </c>
      <c r="L129" s="19">
        <f t="shared" si="19"/>
        <v>0</v>
      </c>
      <c r="M129" s="25">
        <v>1109.2</v>
      </c>
      <c r="N129" s="209">
        <f t="shared" si="20"/>
        <v>22184</v>
      </c>
    </row>
    <row r="130" spans="1:14" ht="15.75">
      <c r="A130" s="120" t="s">
        <v>180</v>
      </c>
      <c r="B130" s="121" t="s">
        <v>13</v>
      </c>
      <c r="C130" s="10"/>
      <c r="D130" s="10">
        <v>20</v>
      </c>
      <c r="E130" s="15">
        <f t="shared" si="18"/>
        <v>20</v>
      </c>
      <c r="F130" s="25">
        <f>10620/D130</f>
        <v>531</v>
      </c>
      <c r="G130" s="25">
        <f t="shared" ref="G130:G148" si="21">D130*F130</f>
        <v>10620</v>
      </c>
      <c r="H130" s="25"/>
      <c r="I130" s="25"/>
      <c r="J130" s="25"/>
      <c r="K130" s="102">
        <v>15</v>
      </c>
      <c r="L130" s="19">
        <f t="shared" si="19"/>
        <v>5</v>
      </c>
      <c r="M130" s="25">
        <v>531</v>
      </c>
      <c r="N130" s="209">
        <f t="shared" si="20"/>
        <v>7965</v>
      </c>
    </row>
    <row r="131" spans="1:14" ht="15.75">
      <c r="A131" s="64" t="s">
        <v>130</v>
      </c>
      <c r="B131" s="221" t="s">
        <v>31</v>
      </c>
      <c r="C131" s="15">
        <v>8</v>
      </c>
      <c r="D131" s="15"/>
      <c r="E131" s="15">
        <f t="shared" si="18"/>
        <v>8</v>
      </c>
      <c r="F131" s="112"/>
      <c r="G131" s="25">
        <f t="shared" si="21"/>
        <v>0</v>
      </c>
      <c r="H131" s="112">
        <v>228</v>
      </c>
      <c r="I131" s="112">
        <f t="shared" ref="I131:I137" si="22">H131*18%</f>
        <v>41.04</v>
      </c>
      <c r="J131" s="112">
        <f t="shared" si="17"/>
        <v>269.04000000000002</v>
      </c>
      <c r="K131" s="102">
        <v>8</v>
      </c>
      <c r="L131" s="19">
        <f t="shared" si="19"/>
        <v>0</v>
      </c>
      <c r="M131" s="112">
        <v>269.04000000000002</v>
      </c>
      <c r="N131" s="209">
        <f t="shared" si="20"/>
        <v>2152.3200000000002</v>
      </c>
    </row>
    <row r="132" spans="1:14" ht="15.75">
      <c r="A132" s="64" t="s">
        <v>131</v>
      </c>
      <c r="B132" s="221" t="s">
        <v>31</v>
      </c>
      <c r="C132" s="15">
        <v>2</v>
      </c>
      <c r="D132" s="15"/>
      <c r="E132" s="15">
        <f t="shared" si="18"/>
        <v>2</v>
      </c>
      <c r="F132" s="112"/>
      <c r="G132" s="25">
        <f t="shared" si="21"/>
        <v>0</v>
      </c>
      <c r="H132" s="112">
        <v>228</v>
      </c>
      <c r="I132" s="112">
        <f t="shared" si="22"/>
        <v>41.04</v>
      </c>
      <c r="J132" s="112">
        <f t="shared" si="17"/>
        <v>269.04000000000002</v>
      </c>
      <c r="K132" s="102">
        <v>2</v>
      </c>
      <c r="L132" s="19">
        <f t="shared" si="19"/>
        <v>0</v>
      </c>
      <c r="M132" s="112">
        <v>269.04000000000002</v>
      </c>
      <c r="N132" s="209">
        <f t="shared" si="20"/>
        <v>538.08000000000004</v>
      </c>
    </row>
    <row r="133" spans="1:14" ht="15.75">
      <c r="A133" s="64" t="s">
        <v>128</v>
      </c>
      <c r="B133" s="221" t="s">
        <v>31</v>
      </c>
      <c r="C133" s="15">
        <v>38</v>
      </c>
      <c r="D133" s="15"/>
      <c r="E133" s="15">
        <f t="shared" si="18"/>
        <v>38</v>
      </c>
      <c r="F133" s="112"/>
      <c r="G133" s="25">
        <f t="shared" si="21"/>
        <v>0</v>
      </c>
      <c r="H133" s="112">
        <v>228</v>
      </c>
      <c r="I133" s="112">
        <f t="shared" si="22"/>
        <v>41.04</v>
      </c>
      <c r="J133" s="112">
        <f t="shared" si="17"/>
        <v>269.04000000000002</v>
      </c>
      <c r="K133" s="102">
        <v>37</v>
      </c>
      <c r="L133" s="19">
        <f t="shared" si="19"/>
        <v>1</v>
      </c>
      <c r="M133" s="112">
        <v>269.04000000000002</v>
      </c>
      <c r="N133" s="209">
        <f t="shared" si="20"/>
        <v>9954.4800000000014</v>
      </c>
    </row>
    <row r="134" spans="1:14" ht="15.75">
      <c r="A134" s="64" t="s">
        <v>129</v>
      </c>
      <c r="B134" s="221" t="s">
        <v>31</v>
      </c>
      <c r="C134" s="15">
        <v>2</v>
      </c>
      <c r="D134" s="15"/>
      <c r="E134" s="15">
        <f t="shared" si="18"/>
        <v>2</v>
      </c>
      <c r="F134" s="112"/>
      <c r="G134" s="25">
        <f t="shared" si="21"/>
        <v>0</v>
      </c>
      <c r="H134" s="112">
        <v>228</v>
      </c>
      <c r="I134" s="112">
        <f t="shared" si="22"/>
        <v>41.04</v>
      </c>
      <c r="J134" s="112">
        <f t="shared" si="17"/>
        <v>269.04000000000002</v>
      </c>
      <c r="K134" s="102">
        <v>1</v>
      </c>
      <c r="L134" s="19">
        <f t="shared" si="19"/>
        <v>1</v>
      </c>
      <c r="M134" s="112">
        <v>269.04000000000002</v>
      </c>
      <c r="N134" s="209">
        <f t="shared" si="20"/>
        <v>269.04000000000002</v>
      </c>
    </row>
    <row r="135" spans="1:14" ht="15.75">
      <c r="A135" s="64" t="s">
        <v>157</v>
      </c>
      <c r="B135" s="221" t="s">
        <v>31</v>
      </c>
      <c r="C135" s="15">
        <v>28</v>
      </c>
      <c r="D135" s="15"/>
      <c r="E135" s="15">
        <f t="shared" si="18"/>
        <v>28</v>
      </c>
      <c r="F135" s="112"/>
      <c r="G135" s="25">
        <f t="shared" si="21"/>
        <v>0</v>
      </c>
      <c r="H135" s="112">
        <v>228</v>
      </c>
      <c r="I135" s="112">
        <f t="shared" si="22"/>
        <v>41.04</v>
      </c>
      <c r="J135" s="112">
        <f t="shared" si="17"/>
        <v>269.04000000000002</v>
      </c>
      <c r="K135" s="102">
        <v>28</v>
      </c>
      <c r="L135" s="19">
        <f t="shared" si="19"/>
        <v>0</v>
      </c>
      <c r="M135" s="112">
        <v>269.04000000000002</v>
      </c>
      <c r="N135" s="209">
        <f t="shared" si="20"/>
        <v>7533.1200000000008</v>
      </c>
    </row>
    <row r="136" spans="1:14" ht="15.75">
      <c r="A136" s="64" t="s">
        <v>126</v>
      </c>
      <c r="B136" s="213" t="s">
        <v>13</v>
      </c>
      <c r="C136" s="15">
        <v>3</v>
      </c>
      <c r="D136" s="15"/>
      <c r="E136" s="15">
        <f t="shared" si="18"/>
        <v>3</v>
      </c>
      <c r="F136" s="112"/>
      <c r="G136" s="25">
        <f t="shared" si="21"/>
        <v>0</v>
      </c>
      <c r="H136" s="112">
        <v>520</v>
      </c>
      <c r="I136" s="112">
        <f t="shared" si="22"/>
        <v>93.6</v>
      </c>
      <c r="J136" s="112">
        <f t="shared" si="17"/>
        <v>613.6</v>
      </c>
      <c r="K136" s="102">
        <v>3</v>
      </c>
      <c r="L136" s="19">
        <f t="shared" si="19"/>
        <v>0</v>
      </c>
      <c r="M136" s="112">
        <v>613.6</v>
      </c>
      <c r="N136" s="209">
        <f t="shared" si="20"/>
        <v>1840.8000000000002</v>
      </c>
    </row>
    <row r="137" spans="1:14" ht="15.75">
      <c r="A137" s="64" t="s">
        <v>148</v>
      </c>
      <c r="B137" s="221" t="s">
        <v>31</v>
      </c>
      <c r="C137" s="15">
        <v>8</v>
      </c>
      <c r="D137" s="15"/>
      <c r="E137" s="15">
        <f t="shared" si="18"/>
        <v>8</v>
      </c>
      <c r="F137" s="112"/>
      <c r="G137" s="25">
        <f t="shared" si="21"/>
        <v>0</v>
      </c>
      <c r="H137" s="112">
        <v>228</v>
      </c>
      <c r="I137" s="112">
        <f t="shared" si="22"/>
        <v>41.04</v>
      </c>
      <c r="J137" s="112">
        <f t="shared" si="17"/>
        <v>269.04000000000002</v>
      </c>
      <c r="K137" s="102">
        <v>7</v>
      </c>
      <c r="L137" s="19">
        <f t="shared" si="19"/>
        <v>1</v>
      </c>
      <c r="M137" s="112">
        <v>269.04000000000002</v>
      </c>
      <c r="N137" s="209">
        <f t="shared" si="20"/>
        <v>1883.2800000000002</v>
      </c>
    </row>
    <row r="138" spans="1:14" ht="15.75">
      <c r="A138" s="64" t="s">
        <v>132</v>
      </c>
      <c r="B138" s="221" t="s">
        <v>31</v>
      </c>
      <c r="C138" s="15">
        <v>9</v>
      </c>
      <c r="D138" s="15"/>
      <c r="E138" s="15">
        <f t="shared" si="18"/>
        <v>9</v>
      </c>
      <c r="F138" s="112"/>
      <c r="G138" s="25">
        <f t="shared" si="21"/>
        <v>0</v>
      </c>
      <c r="H138" s="112">
        <v>228</v>
      </c>
      <c r="I138" s="112">
        <f>H138*18%</f>
        <v>41.04</v>
      </c>
      <c r="J138" s="112">
        <f t="shared" si="17"/>
        <v>269.04000000000002</v>
      </c>
      <c r="K138" s="102">
        <v>7</v>
      </c>
      <c r="L138" s="19">
        <f t="shared" si="19"/>
        <v>2</v>
      </c>
      <c r="M138" s="112">
        <v>269.04000000000002</v>
      </c>
      <c r="N138" s="209">
        <f t="shared" si="20"/>
        <v>1883.2800000000002</v>
      </c>
    </row>
    <row r="139" spans="1:14" ht="15.75">
      <c r="A139" s="64" t="s">
        <v>147</v>
      </c>
      <c r="B139" s="221" t="s">
        <v>31</v>
      </c>
      <c r="C139" s="15">
        <v>11</v>
      </c>
      <c r="D139" s="15"/>
      <c r="E139" s="15">
        <f t="shared" si="18"/>
        <v>11</v>
      </c>
      <c r="F139" s="112"/>
      <c r="G139" s="25">
        <f t="shared" si="21"/>
        <v>0</v>
      </c>
      <c r="H139" s="112">
        <v>228</v>
      </c>
      <c r="I139" s="112">
        <f>H139*18%</f>
        <v>41.04</v>
      </c>
      <c r="J139" s="112">
        <f t="shared" si="17"/>
        <v>269.04000000000002</v>
      </c>
      <c r="K139" s="102">
        <v>11</v>
      </c>
      <c r="L139" s="19">
        <f t="shared" si="19"/>
        <v>0</v>
      </c>
      <c r="M139" s="112">
        <v>269</v>
      </c>
      <c r="N139" s="209">
        <f t="shared" si="20"/>
        <v>2959</v>
      </c>
    </row>
    <row r="140" spans="1:14" ht="15.75">
      <c r="A140" s="24" t="s">
        <v>133</v>
      </c>
      <c r="B140" s="121" t="s">
        <v>13</v>
      </c>
      <c r="C140" s="10">
        <v>20</v>
      </c>
      <c r="D140" s="10">
        <v>20</v>
      </c>
      <c r="E140" s="15">
        <f t="shared" si="18"/>
        <v>40</v>
      </c>
      <c r="F140" s="25">
        <f>2006/D140</f>
        <v>100.3</v>
      </c>
      <c r="G140" s="25">
        <f t="shared" si="21"/>
        <v>2006</v>
      </c>
      <c r="H140" s="25">
        <v>72.25</v>
      </c>
      <c r="I140" s="25">
        <f>+H140*18%</f>
        <v>13.004999999999999</v>
      </c>
      <c r="J140" s="25">
        <f t="shared" si="17"/>
        <v>85.254999999999995</v>
      </c>
      <c r="K140" s="102">
        <v>36</v>
      </c>
      <c r="L140" s="19">
        <f t="shared" si="19"/>
        <v>4</v>
      </c>
      <c r="M140" s="25">
        <v>269.04000000000002</v>
      </c>
      <c r="N140" s="209">
        <f t="shared" si="20"/>
        <v>9685.44</v>
      </c>
    </row>
    <row r="141" spans="1:14" ht="15.75">
      <c r="A141" s="24" t="s">
        <v>135</v>
      </c>
      <c r="B141" s="121" t="s">
        <v>13</v>
      </c>
      <c r="C141" s="10">
        <v>22</v>
      </c>
      <c r="D141" s="10">
        <v>8</v>
      </c>
      <c r="E141" s="15">
        <f t="shared" si="18"/>
        <v>30</v>
      </c>
      <c r="F141" s="25">
        <f>736.32/D141</f>
        <v>92.04</v>
      </c>
      <c r="G141" s="25">
        <f t="shared" si="21"/>
        <v>736.32</v>
      </c>
      <c r="H141" s="25">
        <v>61.7</v>
      </c>
      <c r="I141" s="25">
        <f>+H141*18%</f>
        <v>11.106</v>
      </c>
      <c r="J141" s="25">
        <f t="shared" si="17"/>
        <v>72.805999999999997</v>
      </c>
      <c r="K141" s="102">
        <v>36</v>
      </c>
      <c r="L141" s="144">
        <f t="shared" si="19"/>
        <v>-6</v>
      </c>
      <c r="M141" s="25">
        <v>92.04</v>
      </c>
      <c r="N141" s="209">
        <f t="shared" si="20"/>
        <v>3313.44</v>
      </c>
    </row>
    <row r="142" spans="1:14" ht="15.75">
      <c r="A142" s="24" t="s">
        <v>134</v>
      </c>
      <c r="B142" s="121" t="s">
        <v>13</v>
      </c>
      <c r="C142" s="10">
        <v>3</v>
      </c>
      <c r="D142" s="10"/>
      <c r="E142" s="15">
        <f t="shared" si="18"/>
        <v>3</v>
      </c>
      <c r="F142" s="25"/>
      <c r="G142" s="25">
        <f t="shared" si="21"/>
        <v>0</v>
      </c>
      <c r="H142" s="25">
        <v>61.7</v>
      </c>
      <c r="I142" s="25">
        <f>+H142*18%</f>
        <v>11.106</v>
      </c>
      <c r="J142" s="25">
        <f t="shared" si="17"/>
        <v>72.805999999999997</v>
      </c>
      <c r="K142" s="102">
        <v>3</v>
      </c>
      <c r="L142" s="19">
        <f t="shared" si="19"/>
        <v>0</v>
      </c>
      <c r="M142" s="25">
        <v>72.81</v>
      </c>
      <c r="N142" s="209">
        <f t="shared" si="20"/>
        <v>218.43</v>
      </c>
    </row>
    <row r="143" spans="1:14" ht="15.75">
      <c r="A143" s="24" t="s">
        <v>138</v>
      </c>
      <c r="B143" s="121" t="s">
        <v>13</v>
      </c>
      <c r="C143" s="10">
        <v>35</v>
      </c>
      <c r="D143" s="10">
        <v>75</v>
      </c>
      <c r="E143" s="15">
        <f t="shared" si="18"/>
        <v>110</v>
      </c>
      <c r="F143" s="25">
        <f>8407.5/75</f>
        <v>112.1</v>
      </c>
      <c r="G143" s="25">
        <f t="shared" si="21"/>
        <v>8407.5</v>
      </c>
      <c r="H143" s="25">
        <v>120</v>
      </c>
      <c r="I143" s="25">
        <f>+H143*18%</f>
        <v>21.599999999999998</v>
      </c>
      <c r="J143" s="25">
        <f t="shared" si="17"/>
        <v>141.6</v>
      </c>
      <c r="K143" s="102">
        <v>107</v>
      </c>
      <c r="L143" s="19">
        <f t="shared" si="19"/>
        <v>3</v>
      </c>
      <c r="M143" s="25">
        <v>112.1</v>
      </c>
      <c r="N143" s="209">
        <f t="shared" si="20"/>
        <v>11994.699999999999</v>
      </c>
    </row>
    <row r="144" spans="1:14" ht="15.75">
      <c r="A144" s="64" t="s">
        <v>136</v>
      </c>
      <c r="B144" s="221" t="s">
        <v>31</v>
      </c>
      <c r="C144" s="15">
        <v>5</v>
      </c>
      <c r="D144" s="15"/>
      <c r="E144" s="15">
        <f t="shared" si="18"/>
        <v>5</v>
      </c>
      <c r="F144" s="112"/>
      <c r="G144" s="25">
        <f t="shared" si="21"/>
        <v>0</v>
      </c>
      <c r="H144" s="112">
        <v>3100</v>
      </c>
      <c r="I144" s="112">
        <f>H144*18%</f>
        <v>558</v>
      </c>
      <c r="J144" s="112">
        <f t="shared" si="17"/>
        <v>3658</v>
      </c>
      <c r="K144" s="102">
        <v>200</v>
      </c>
      <c r="L144" s="19">
        <v>4</v>
      </c>
      <c r="M144" s="112">
        <v>73.16</v>
      </c>
      <c r="N144" s="209">
        <f t="shared" si="20"/>
        <v>14632</v>
      </c>
    </row>
    <row r="145" spans="1:16" ht="15.75">
      <c r="A145" s="64" t="s">
        <v>137</v>
      </c>
      <c r="B145" s="221" t="s">
        <v>31</v>
      </c>
      <c r="C145" s="15">
        <v>4</v>
      </c>
      <c r="D145" s="15"/>
      <c r="E145" s="15">
        <f t="shared" si="18"/>
        <v>4</v>
      </c>
      <c r="F145" s="112"/>
      <c r="G145" s="25">
        <f t="shared" si="21"/>
        <v>0</v>
      </c>
      <c r="H145" s="112">
        <v>3100</v>
      </c>
      <c r="I145" s="112">
        <f>H145*18%</f>
        <v>558</v>
      </c>
      <c r="J145" s="112">
        <f t="shared" si="17"/>
        <v>3658</v>
      </c>
      <c r="K145" s="102">
        <v>290</v>
      </c>
      <c r="L145" s="19">
        <v>5</v>
      </c>
      <c r="M145" s="112">
        <v>73.16</v>
      </c>
      <c r="N145" s="209">
        <f t="shared" si="20"/>
        <v>21216.399999999998</v>
      </c>
      <c r="P145">
        <f>K145/50</f>
        <v>5.8</v>
      </c>
    </row>
    <row r="146" spans="1:16" ht="15.75">
      <c r="A146" s="24" t="s">
        <v>139</v>
      </c>
      <c r="B146" s="121" t="s">
        <v>13</v>
      </c>
      <c r="C146" s="10">
        <v>18</v>
      </c>
      <c r="D146" s="10"/>
      <c r="E146" s="15">
        <f t="shared" si="18"/>
        <v>18</v>
      </c>
      <c r="F146" s="25"/>
      <c r="G146" s="25">
        <f t="shared" si="21"/>
        <v>0</v>
      </c>
      <c r="H146" s="211">
        <v>275</v>
      </c>
      <c r="I146" s="211">
        <f>+H146*18%</f>
        <v>49.5</v>
      </c>
      <c r="J146" s="211">
        <f t="shared" si="17"/>
        <v>324.5</v>
      </c>
      <c r="K146" s="102">
        <v>15</v>
      </c>
      <c r="L146" s="19">
        <f t="shared" si="19"/>
        <v>3</v>
      </c>
      <c r="M146" s="211">
        <v>324.5</v>
      </c>
      <c r="N146" s="209">
        <f t="shared" si="20"/>
        <v>4867.5</v>
      </c>
    </row>
    <row r="147" spans="1:16" ht="15.75">
      <c r="A147" s="24" t="s">
        <v>164</v>
      </c>
      <c r="B147" s="121" t="s">
        <v>163</v>
      </c>
      <c r="C147" s="10">
        <v>4</v>
      </c>
      <c r="D147" s="39"/>
      <c r="E147" s="15">
        <f t="shared" si="18"/>
        <v>4</v>
      </c>
      <c r="F147" s="114"/>
      <c r="G147" s="25">
        <f t="shared" si="21"/>
        <v>0</v>
      </c>
      <c r="H147" s="215">
        <v>1760</v>
      </c>
      <c r="I147" s="211">
        <f>+H147*18%</f>
        <v>316.8</v>
      </c>
      <c r="J147" s="211">
        <f t="shared" si="17"/>
        <v>2076.8000000000002</v>
      </c>
      <c r="K147" s="102">
        <v>3</v>
      </c>
      <c r="L147" s="19">
        <f t="shared" si="19"/>
        <v>1</v>
      </c>
      <c r="M147" s="211">
        <v>2076.8000000000002</v>
      </c>
      <c r="N147" s="209">
        <f t="shared" si="20"/>
        <v>6230.4000000000005</v>
      </c>
    </row>
    <row r="148" spans="1:16" ht="16.5" thickBot="1">
      <c r="A148" s="70" t="s">
        <v>140</v>
      </c>
      <c r="B148" s="122" t="s">
        <v>13</v>
      </c>
      <c r="C148" s="39">
        <v>2</v>
      </c>
      <c r="D148" s="39"/>
      <c r="E148" s="15">
        <f t="shared" si="18"/>
        <v>2</v>
      </c>
      <c r="F148" s="114"/>
      <c r="G148" s="114">
        <f t="shared" si="21"/>
        <v>0</v>
      </c>
      <c r="H148" s="215">
        <v>250</v>
      </c>
      <c r="I148" s="215">
        <f>+H148*18%</f>
        <v>45</v>
      </c>
      <c r="J148" s="215">
        <f t="shared" si="17"/>
        <v>295</v>
      </c>
      <c r="K148" s="202">
        <v>2</v>
      </c>
      <c r="L148" s="19">
        <f t="shared" si="19"/>
        <v>0</v>
      </c>
      <c r="M148" s="215">
        <v>295</v>
      </c>
      <c r="N148" s="222">
        <f t="shared" si="20"/>
        <v>590</v>
      </c>
    </row>
    <row r="149" spans="1:16" ht="18.75" thickBot="1">
      <c r="A149" s="203"/>
      <c r="B149" s="204"/>
      <c r="C149" s="228">
        <f t="shared" ref="C149:L149" si="23">SUM(C7:C148)</f>
        <v>6837</v>
      </c>
      <c r="D149" s="228">
        <f t="shared" si="23"/>
        <v>5509</v>
      </c>
      <c r="E149" s="228">
        <f t="shared" si="23"/>
        <v>12346</v>
      </c>
      <c r="F149" s="228">
        <f t="shared" si="23"/>
        <v>26896.684999999998</v>
      </c>
      <c r="G149" s="228">
        <f t="shared" si="23"/>
        <v>425582.04</v>
      </c>
      <c r="H149" s="228">
        <f t="shared" si="23"/>
        <v>50224.319999999971</v>
      </c>
      <c r="I149" s="228">
        <f t="shared" si="23"/>
        <v>8995.5377999999982</v>
      </c>
      <c r="J149" s="228">
        <f t="shared" si="23"/>
        <v>59219.857800000013</v>
      </c>
      <c r="K149" s="228">
        <f t="shared" si="23"/>
        <v>17015</v>
      </c>
      <c r="L149" s="227">
        <f t="shared" si="23"/>
        <v>-4179</v>
      </c>
      <c r="M149" s="207"/>
      <c r="N149" s="201">
        <f>SUM(N7:N148)</f>
        <v>1254559.8354</v>
      </c>
    </row>
    <row r="151" spans="1:16">
      <c r="E151" s="231">
        <f>E149</f>
        <v>12346</v>
      </c>
    </row>
    <row r="152" spans="1:16">
      <c r="C152" s="274" t="s">
        <v>237</v>
      </c>
      <c r="D152" s="274"/>
      <c r="E152" s="231">
        <f>K149</f>
        <v>17015</v>
      </c>
    </row>
  </sheetData>
  <mergeCells count="1">
    <mergeCell ref="C152:D152"/>
  </mergeCells>
  <pageMargins left="0.17" right="0.17" top="0.75" bottom="0.75" header="0.3" footer="0.3"/>
  <pageSetup scale="7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B241-F4D1-4C16-A102-CC039295C745}">
  <dimension ref="A2:Z163"/>
  <sheetViews>
    <sheetView topLeftCell="A142" workbookViewId="0">
      <selection activeCell="X148" sqref="X148"/>
    </sheetView>
  </sheetViews>
  <sheetFormatPr baseColWidth="10" defaultRowHeight="18"/>
  <cols>
    <col min="1" max="1" width="42.42578125" style="13" bestFit="1" customWidth="1"/>
    <col min="2" max="2" width="12.7109375" style="13" hidden="1" customWidth="1"/>
    <col min="3" max="4" width="12.7109375" style="54" hidden="1" customWidth="1"/>
    <col min="5" max="5" width="18.7109375" style="118" hidden="1" customWidth="1"/>
    <col min="6" max="6" width="15.85546875" style="118" hidden="1" customWidth="1"/>
    <col min="7" max="7" width="12.7109375" style="54" hidden="1" customWidth="1"/>
    <col min="8" max="8" width="15.85546875" style="54" hidden="1" customWidth="1"/>
    <col min="9" max="10" width="12.7109375" style="54" hidden="1" customWidth="1"/>
    <col min="11" max="11" width="12.7109375" style="54" customWidth="1"/>
    <col min="12" max="12" width="15.140625" style="54" bestFit="1" customWidth="1"/>
    <col min="13" max="13" width="44.28515625" style="13" customWidth="1"/>
    <col min="14" max="15" width="12.7109375" style="13" hidden="1" customWidth="1"/>
    <col min="16" max="23" width="12.7109375" style="54" hidden="1" customWidth="1"/>
    <col min="24" max="24" width="12.7109375" style="54" customWidth="1"/>
    <col min="25" max="25" width="17.42578125" style="54" customWidth="1"/>
  </cols>
  <sheetData>
    <row r="2" spans="1:26">
      <c r="J2" s="54">
        <f>25*12</f>
        <v>300</v>
      </c>
    </row>
    <row r="3" spans="1:26" ht="15">
      <c r="A3"/>
      <c r="B3"/>
      <c r="C3"/>
      <c r="D3"/>
      <c r="E3" s="110"/>
      <c r="F3" s="110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6" ht="15">
      <c r="A4"/>
      <c r="B4"/>
      <c r="C4"/>
      <c r="D4"/>
      <c r="E4" s="110"/>
      <c r="F4" s="110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6" ht="15.75" thickBot="1">
      <c r="A5"/>
      <c r="B5"/>
      <c r="C5"/>
      <c r="D5"/>
      <c r="E5" s="110"/>
      <c r="F5" s="110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6" ht="32.25" thickBot="1">
      <c r="A6" s="3" t="s">
        <v>0</v>
      </c>
      <c r="B6" s="99" t="s">
        <v>1</v>
      </c>
      <c r="C6" s="5" t="s">
        <v>188</v>
      </c>
      <c r="D6" s="5" t="s">
        <v>171</v>
      </c>
      <c r="E6" s="111" t="s">
        <v>172</v>
      </c>
      <c r="F6" s="111" t="s">
        <v>189</v>
      </c>
      <c r="G6" s="5" t="s">
        <v>3</v>
      </c>
      <c r="H6" s="100" t="s">
        <v>4</v>
      </c>
      <c r="I6" s="101" t="s">
        <v>5</v>
      </c>
      <c r="J6" s="99" t="s">
        <v>190</v>
      </c>
      <c r="K6" s="99" t="s">
        <v>172</v>
      </c>
      <c r="L6" s="126" t="s">
        <v>6</v>
      </c>
      <c r="M6" s="3" t="s">
        <v>0</v>
      </c>
      <c r="N6" s="4" t="s">
        <v>1</v>
      </c>
      <c r="O6" s="5" t="s">
        <v>200</v>
      </c>
      <c r="P6" s="5" t="s">
        <v>2</v>
      </c>
      <c r="Q6" s="162" t="s">
        <v>227</v>
      </c>
      <c r="R6" s="162" t="s">
        <v>228</v>
      </c>
      <c r="S6" s="162" t="s">
        <v>229</v>
      </c>
      <c r="T6" s="162" t="s">
        <v>230</v>
      </c>
      <c r="U6" s="162" t="s">
        <v>231</v>
      </c>
      <c r="V6" s="5" t="s">
        <v>3</v>
      </c>
      <c r="W6" s="6" t="s">
        <v>4</v>
      </c>
      <c r="X6" s="7" t="s">
        <v>5</v>
      </c>
      <c r="Y6" s="5" t="s">
        <v>6</v>
      </c>
    </row>
    <row r="7" spans="1:26" ht="15.75">
      <c r="A7" s="18" t="s">
        <v>10</v>
      </c>
      <c r="B7" s="60" t="s">
        <v>11</v>
      </c>
      <c r="C7" s="15">
        <v>41</v>
      </c>
      <c r="D7" s="15"/>
      <c r="E7" s="112"/>
      <c r="F7" s="112"/>
      <c r="G7" s="16">
        <v>150</v>
      </c>
      <c r="H7" s="61">
        <f>G7*18%</f>
        <v>27</v>
      </c>
      <c r="I7" s="61">
        <f>H7+G7</f>
        <v>177</v>
      </c>
      <c r="J7" s="129">
        <v>16</v>
      </c>
      <c r="K7" s="61">
        <f>I7</f>
        <v>177</v>
      </c>
      <c r="L7" s="61">
        <f t="shared" ref="L7:L38" si="0">J7*K7</f>
        <v>2832</v>
      </c>
      <c r="M7" s="142" t="s">
        <v>10</v>
      </c>
      <c r="N7" s="14" t="s">
        <v>11</v>
      </c>
      <c r="O7" s="14" t="s">
        <v>201</v>
      </c>
      <c r="P7" s="129">
        <v>16</v>
      </c>
      <c r="Q7" s="15"/>
      <c r="R7" s="15">
        <v>5</v>
      </c>
      <c r="S7" s="15"/>
      <c r="T7" s="163">
        <v>150</v>
      </c>
      <c r="U7" s="15"/>
      <c r="V7" s="163">
        <v>150</v>
      </c>
      <c r="W7" s="164">
        <f t="shared" ref="W7:W19" si="1">V7*18%</f>
        <v>27</v>
      </c>
      <c r="X7" s="164">
        <f t="shared" ref="X7:X19" si="2">W7+V7</f>
        <v>177</v>
      </c>
      <c r="Y7" s="164">
        <f t="shared" ref="Y7:Y19" si="3">X7*P7</f>
        <v>2832</v>
      </c>
      <c r="Z7" s="95">
        <f>K7-X7</f>
        <v>0</v>
      </c>
    </row>
    <row r="8" spans="1:26" ht="15.75">
      <c r="A8" s="64" t="s">
        <v>12</v>
      </c>
      <c r="B8" s="60" t="s">
        <v>13</v>
      </c>
      <c r="C8" s="15">
        <v>25</v>
      </c>
      <c r="D8" s="15"/>
      <c r="E8" s="112"/>
      <c r="F8" s="112"/>
      <c r="G8" s="16">
        <v>60</v>
      </c>
      <c r="H8" s="61">
        <v>0</v>
      </c>
      <c r="I8" s="61">
        <f>H8+G8</f>
        <v>60</v>
      </c>
      <c r="J8" s="129">
        <v>3</v>
      </c>
      <c r="K8" s="61">
        <v>60</v>
      </c>
      <c r="L8" s="61">
        <f t="shared" si="0"/>
        <v>180</v>
      </c>
      <c r="M8" s="142" t="s">
        <v>12</v>
      </c>
      <c r="N8" s="14" t="s">
        <v>13</v>
      </c>
      <c r="O8" s="14" t="s">
        <v>201</v>
      </c>
      <c r="P8" s="129">
        <v>3</v>
      </c>
      <c r="Q8" s="15"/>
      <c r="R8" s="15"/>
      <c r="S8" s="15"/>
      <c r="T8" s="164">
        <v>60</v>
      </c>
      <c r="U8" s="15"/>
      <c r="V8" s="164">
        <v>60</v>
      </c>
      <c r="W8" s="165">
        <f t="shared" si="1"/>
        <v>10.799999999999999</v>
      </c>
      <c r="X8" s="164">
        <f t="shared" si="2"/>
        <v>70.8</v>
      </c>
      <c r="Y8" s="164">
        <f t="shared" si="3"/>
        <v>212.39999999999998</v>
      </c>
      <c r="Z8" s="95">
        <f t="shared" ref="Z8:Z71" si="4">K8-X8</f>
        <v>-10.799999999999997</v>
      </c>
    </row>
    <row r="9" spans="1:26" ht="15.75">
      <c r="A9" s="24" t="s">
        <v>8</v>
      </c>
      <c r="B9" s="9" t="s">
        <v>9</v>
      </c>
      <c r="C9" s="10">
        <v>6</v>
      </c>
      <c r="D9" s="10"/>
      <c r="E9" s="25"/>
      <c r="F9" s="25"/>
      <c r="G9" s="11">
        <v>700</v>
      </c>
      <c r="H9" s="104">
        <f>+G9*18%</f>
        <v>126</v>
      </c>
      <c r="I9" s="104">
        <f>H9+G9</f>
        <v>826</v>
      </c>
      <c r="J9" s="136">
        <v>6</v>
      </c>
      <c r="K9" s="104">
        <v>826</v>
      </c>
      <c r="L9" s="61">
        <f t="shared" si="0"/>
        <v>4956</v>
      </c>
      <c r="M9" s="123" t="s">
        <v>8</v>
      </c>
      <c r="N9" s="9" t="s">
        <v>9</v>
      </c>
      <c r="O9" s="9" t="s">
        <v>202</v>
      </c>
      <c r="P9" s="136">
        <v>6</v>
      </c>
      <c r="Q9" s="10"/>
      <c r="R9" s="10">
        <v>1</v>
      </c>
      <c r="S9" s="10"/>
      <c r="T9" s="166">
        <v>700</v>
      </c>
      <c r="U9" s="10"/>
      <c r="V9" s="166">
        <v>700</v>
      </c>
      <c r="W9" s="164">
        <f t="shared" si="1"/>
        <v>126</v>
      </c>
      <c r="X9" s="166">
        <f t="shared" si="2"/>
        <v>826</v>
      </c>
      <c r="Y9" s="166">
        <f t="shared" si="3"/>
        <v>4956</v>
      </c>
      <c r="Z9" s="95">
        <f t="shared" si="4"/>
        <v>0</v>
      </c>
    </row>
    <row r="10" spans="1:26" ht="15.75">
      <c r="A10" s="123" t="s">
        <v>181</v>
      </c>
      <c r="B10" s="20" t="s">
        <v>13</v>
      </c>
      <c r="C10" s="10"/>
      <c r="D10" s="10">
        <v>20</v>
      </c>
      <c r="E10" s="25">
        <f>17110/D10</f>
        <v>855.5</v>
      </c>
      <c r="F10" s="25">
        <f>D10*E10</f>
        <v>17110</v>
      </c>
      <c r="G10" s="11"/>
      <c r="H10" s="104"/>
      <c r="I10" s="104"/>
      <c r="J10" s="133">
        <v>20</v>
      </c>
      <c r="K10" s="104">
        <v>855.5</v>
      </c>
      <c r="L10" s="61">
        <f t="shared" si="0"/>
        <v>17110</v>
      </c>
      <c r="M10" s="123" t="s">
        <v>181</v>
      </c>
      <c r="N10" s="20" t="s">
        <v>13</v>
      </c>
      <c r="O10" s="20" t="s">
        <v>203</v>
      </c>
      <c r="P10" s="133">
        <v>20</v>
      </c>
      <c r="Q10" s="102">
        <v>20</v>
      </c>
      <c r="R10" s="102"/>
      <c r="S10" s="102"/>
      <c r="T10" s="167">
        <v>0</v>
      </c>
      <c r="U10" s="32">
        <v>725</v>
      </c>
      <c r="V10" s="167">
        <v>725</v>
      </c>
      <c r="W10" s="164">
        <f t="shared" si="1"/>
        <v>130.5</v>
      </c>
      <c r="X10" s="166">
        <f t="shared" si="2"/>
        <v>855.5</v>
      </c>
      <c r="Y10" s="168">
        <f t="shared" si="3"/>
        <v>17110</v>
      </c>
      <c r="Z10" s="95">
        <f t="shared" si="4"/>
        <v>0</v>
      </c>
    </row>
    <row r="11" spans="1:26" ht="15.75">
      <c r="A11" s="64" t="s">
        <v>15</v>
      </c>
      <c r="B11" s="14" t="s">
        <v>13</v>
      </c>
      <c r="C11" s="15">
        <v>17</v>
      </c>
      <c r="D11" s="15"/>
      <c r="E11" s="112"/>
      <c r="F11" s="25">
        <f>D11*E11</f>
        <v>0</v>
      </c>
      <c r="G11" s="16">
        <v>265</v>
      </c>
      <c r="H11" s="61">
        <f>G11*18%</f>
        <v>47.699999999999996</v>
      </c>
      <c r="I11" s="61">
        <f>H11+G11</f>
        <v>312.7</v>
      </c>
      <c r="J11" s="133">
        <v>9</v>
      </c>
      <c r="K11" s="61">
        <v>312.7</v>
      </c>
      <c r="L11" s="61">
        <f t="shared" si="0"/>
        <v>2814.2999999999997</v>
      </c>
      <c r="M11" s="143" t="s">
        <v>15</v>
      </c>
      <c r="N11" s="60" t="s">
        <v>13</v>
      </c>
      <c r="O11" s="60" t="s">
        <v>201</v>
      </c>
      <c r="P11" s="144">
        <v>9</v>
      </c>
      <c r="Q11" s="19"/>
      <c r="R11" s="19">
        <v>9</v>
      </c>
      <c r="S11" s="19"/>
      <c r="T11" s="169">
        <v>265</v>
      </c>
      <c r="U11" s="19"/>
      <c r="V11" s="169">
        <v>265</v>
      </c>
      <c r="W11" s="164">
        <f t="shared" si="1"/>
        <v>47.699999999999996</v>
      </c>
      <c r="X11" s="169">
        <f t="shared" si="2"/>
        <v>312.7</v>
      </c>
      <c r="Y11" s="169">
        <f t="shared" si="3"/>
        <v>2814.2999999999997</v>
      </c>
      <c r="Z11" s="95">
        <f t="shared" si="4"/>
        <v>0</v>
      </c>
    </row>
    <row r="12" spans="1:26" ht="15.75">
      <c r="A12" s="137" t="s">
        <v>197</v>
      </c>
      <c r="B12" s="135" t="s">
        <v>13</v>
      </c>
      <c r="C12" s="136"/>
      <c r="D12" s="10">
        <v>20</v>
      </c>
      <c r="E12" s="25">
        <f>41300/20</f>
        <v>2065</v>
      </c>
      <c r="F12" s="25">
        <f>D12*E12</f>
        <v>41300</v>
      </c>
      <c r="G12" s="21"/>
      <c r="H12" s="22"/>
      <c r="I12" s="22"/>
      <c r="J12" s="133">
        <v>20</v>
      </c>
      <c r="K12" s="22">
        <v>2065</v>
      </c>
      <c r="L12" s="61">
        <f t="shared" si="0"/>
        <v>41300</v>
      </c>
      <c r="M12" s="123" t="s">
        <v>197</v>
      </c>
      <c r="N12" s="20" t="s">
        <v>13</v>
      </c>
      <c r="O12" s="20" t="s">
        <v>203</v>
      </c>
      <c r="P12" s="136">
        <v>20</v>
      </c>
      <c r="Q12" s="10">
        <v>20</v>
      </c>
      <c r="R12" s="10"/>
      <c r="S12" s="10"/>
      <c r="T12" s="166"/>
      <c r="U12" s="25">
        <v>1750</v>
      </c>
      <c r="V12" s="166">
        <v>1750</v>
      </c>
      <c r="W12" s="164">
        <f t="shared" si="1"/>
        <v>315</v>
      </c>
      <c r="X12" s="167">
        <f t="shared" si="2"/>
        <v>2065</v>
      </c>
      <c r="Y12" s="167">
        <f t="shared" si="3"/>
        <v>41300</v>
      </c>
      <c r="Z12" s="95">
        <f t="shared" si="4"/>
        <v>0</v>
      </c>
    </row>
    <row r="13" spans="1:26" ht="15.75">
      <c r="A13" s="141" t="s">
        <v>196</v>
      </c>
      <c r="B13" s="135" t="s">
        <v>13</v>
      </c>
      <c r="C13" s="136">
        <v>19</v>
      </c>
      <c r="D13" s="10"/>
      <c r="E13" s="25"/>
      <c r="F13" s="25"/>
      <c r="G13" s="21">
        <v>1467.12</v>
      </c>
      <c r="H13" s="22">
        <f>+G13*18%</f>
        <v>264.08159999999998</v>
      </c>
      <c r="I13" s="22">
        <f>H13+G13</f>
        <v>1731.2015999999999</v>
      </c>
      <c r="J13" s="133">
        <v>22</v>
      </c>
      <c r="K13" s="22">
        <v>1731.2</v>
      </c>
      <c r="L13" s="61">
        <f t="shared" si="0"/>
        <v>38086.400000000001</v>
      </c>
      <c r="M13" s="123" t="s">
        <v>196</v>
      </c>
      <c r="N13" s="20" t="s">
        <v>13</v>
      </c>
      <c r="O13" s="20" t="s">
        <v>203</v>
      </c>
      <c r="P13" s="136">
        <v>22</v>
      </c>
      <c r="Q13" s="10"/>
      <c r="R13" s="10"/>
      <c r="S13" s="10"/>
      <c r="T13" s="166"/>
      <c r="U13" s="25"/>
      <c r="V13" s="166">
        <v>1417.12</v>
      </c>
      <c r="W13" s="164">
        <f t="shared" si="1"/>
        <v>255.08159999999998</v>
      </c>
      <c r="X13" s="167">
        <f t="shared" si="2"/>
        <v>1672.2015999999999</v>
      </c>
      <c r="Y13" s="167">
        <f t="shared" si="3"/>
        <v>36788.4352</v>
      </c>
      <c r="Z13" s="95">
        <f t="shared" si="4"/>
        <v>58.998400000000174</v>
      </c>
    </row>
    <row r="14" spans="1:26" ht="15.75">
      <c r="A14" s="119" t="s">
        <v>17</v>
      </c>
      <c r="B14" s="135" t="s">
        <v>13</v>
      </c>
      <c r="C14" s="136">
        <v>7</v>
      </c>
      <c r="D14" s="10"/>
      <c r="E14" s="25"/>
      <c r="F14" s="25">
        <f>D14*E14</f>
        <v>0</v>
      </c>
      <c r="G14" s="21">
        <v>855</v>
      </c>
      <c r="H14" s="22">
        <f>+G14*18%</f>
        <v>153.9</v>
      </c>
      <c r="I14" s="22">
        <f>H14+G14</f>
        <v>1008.9</v>
      </c>
      <c r="J14" s="133">
        <v>7</v>
      </c>
      <c r="K14" s="22">
        <v>1008.9</v>
      </c>
      <c r="L14" s="61">
        <f t="shared" si="0"/>
        <v>7062.3</v>
      </c>
      <c r="M14" s="120" t="s">
        <v>17</v>
      </c>
      <c r="N14" s="20" t="s">
        <v>13</v>
      </c>
      <c r="O14" s="20" t="s">
        <v>203</v>
      </c>
      <c r="P14" s="136">
        <v>7</v>
      </c>
      <c r="Q14" s="10"/>
      <c r="R14" s="10"/>
      <c r="S14" s="10"/>
      <c r="T14" s="166">
        <v>855</v>
      </c>
      <c r="U14" s="25"/>
      <c r="V14" s="166">
        <v>855</v>
      </c>
      <c r="W14" s="164">
        <f t="shared" si="1"/>
        <v>153.9</v>
      </c>
      <c r="X14" s="167">
        <f t="shared" si="2"/>
        <v>1008.9</v>
      </c>
      <c r="Y14" s="167">
        <f t="shared" si="3"/>
        <v>7062.3</v>
      </c>
      <c r="Z14" s="95">
        <f t="shared" si="4"/>
        <v>0</v>
      </c>
    </row>
    <row r="15" spans="1:26" ht="15.75">
      <c r="A15" s="24" t="s">
        <v>169</v>
      </c>
      <c r="B15" s="9" t="s">
        <v>13</v>
      </c>
      <c r="C15" s="10">
        <v>30</v>
      </c>
      <c r="D15" s="10"/>
      <c r="E15" s="25"/>
      <c r="F15" s="25">
        <f>D15*E15</f>
        <v>0</v>
      </c>
      <c r="G15" s="11">
        <v>185</v>
      </c>
      <c r="H15" s="104">
        <f>+G15*18%</f>
        <v>33.299999999999997</v>
      </c>
      <c r="I15" s="104">
        <f>H15+G15</f>
        <v>218.3</v>
      </c>
      <c r="J15" s="133">
        <v>30</v>
      </c>
      <c r="K15" s="104">
        <v>218.3</v>
      </c>
      <c r="L15" s="61">
        <f t="shared" si="0"/>
        <v>6549</v>
      </c>
      <c r="M15" s="120" t="s">
        <v>204</v>
      </c>
      <c r="N15" s="9" t="s">
        <v>13</v>
      </c>
      <c r="O15" s="9" t="s">
        <v>202</v>
      </c>
      <c r="P15" s="136">
        <v>30</v>
      </c>
      <c r="Q15" s="10"/>
      <c r="R15" s="10"/>
      <c r="S15" s="10"/>
      <c r="T15" s="166">
        <v>185</v>
      </c>
      <c r="U15" s="10"/>
      <c r="V15" s="166">
        <v>185</v>
      </c>
      <c r="W15" s="164">
        <f t="shared" si="1"/>
        <v>33.299999999999997</v>
      </c>
      <c r="X15" s="166">
        <f t="shared" si="2"/>
        <v>218.3</v>
      </c>
      <c r="Y15" s="166">
        <f t="shared" si="3"/>
        <v>6549</v>
      </c>
      <c r="Z15" s="95">
        <f t="shared" si="4"/>
        <v>0</v>
      </c>
    </row>
    <row r="16" spans="1:26" ht="15.75">
      <c r="A16" s="134" t="s">
        <v>191</v>
      </c>
      <c r="B16" s="135" t="s">
        <v>13</v>
      </c>
      <c r="C16" s="9" t="s">
        <v>192</v>
      </c>
      <c r="D16" s="10">
        <v>9</v>
      </c>
      <c r="E16" s="25"/>
      <c r="F16" s="25"/>
      <c r="G16" s="11"/>
      <c r="H16" s="104"/>
      <c r="I16" s="104"/>
      <c r="J16" s="133">
        <v>9</v>
      </c>
      <c r="K16" s="104">
        <v>8024</v>
      </c>
      <c r="L16" s="61">
        <f t="shared" si="0"/>
        <v>72216</v>
      </c>
      <c r="M16" s="134" t="s">
        <v>191</v>
      </c>
      <c r="N16" s="135" t="s">
        <v>13</v>
      </c>
      <c r="O16" s="9" t="s">
        <v>192</v>
      </c>
      <c r="P16" s="136">
        <v>9</v>
      </c>
      <c r="Q16" s="10"/>
      <c r="R16" s="10"/>
      <c r="S16" s="10"/>
      <c r="T16" s="166">
        <v>6800</v>
      </c>
      <c r="U16" s="10"/>
      <c r="V16" s="166">
        <v>6800</v>
      </c>
      <c r="W16" s="164">
        <f t="shared" si="1"/>
        <v>1224</v>
      </c>
      <c r="X16" s="166">
        <f t="shared" si="2"/>
        <v>8024</v>
      </c>
      <c r="Y16" s="166">
        <f t="shared" si="3"/>
        <v>72216</v>
      </c>
      <c r="Z16" s="95">
        <f t="shared" si="4"/>
        <v>0</v>
      </c>
    </row>
    <row r="17" spans="1:26" ht="15.75">
      <c r="A17" s="24" t="s">
        <v>170</v>
      </c>
      <c r="B17" s="9" t="s">
        <v>13</v>
      </c>
      <c r="C17" s="10"/>
      <c r="D17" s="10">
        <v>60</v>
      </c>
      <c r="E17" s="25">
        <f>531/60</f>
        <v>8.85</v>
      </c>
      <c r="F17" s="25">
        <f t="shared" ref="F17:F23" si="5">D17*E17</f>
        <v>531</v>
      </c>
      <c r="G17" s="11"/>
      <c r="H17" s="104"/>
      <c r="I17" s="104"/>
      <c r="J17" s="133">
        <v>44</v>
      </c>
      <c r="K17" s="104">
        <v>8.85</v>
      </c>
      <c r="L17" s="61">
        <f t="shared" si="0"/>
        <v>389.4</v>
      </c>
      <c r="M17" s="142" t="s">
        <v>205</v>
      </c>
      <c r="N17" s="14" t="s">
        <v>13</v>
      </c>
      <c r="O17" s="14" t="s">
        <v>203</v>
      </c>
      <c r="P17" s="129">
        <v>44</v>
      </c>
      <c r="Q17" s="15">
        <v>60</v>
      </c>
      <c r="R17" s="15">
        <v>12</v>
      </c>
      <c r="S17" s="15"/>
      <c r="T17" s="164">
        <v>0</v>
      </c>
      <c r="U17" s="112">
        <v>7.5</v>
      </c>
      <c r="V17" s="164">
        <v>7.5</v>
      </c>
      <c r="W17" s="164">
        <f t="shared" si="1"/>
        <v>1.3499999999999999</v>
      </c>
      <c r="X17" s="164">
        <f t="shared" si="2"/>
        <v>8.85</v>
      </c>
      <c r="Y17" s="164">
        <f t="shared" si="3"/>
        <v>389.4</v>
      </c>
      <c r="Z17" s="95">
        <f t="shared" si="4"/>
        <v>0</v>
      </c>
    </row>
    <row r="18" spans="1:26" ht="15.75">
      <c r="A18" s="127" t="s">
        <v>18</v>
      </c>
      <c r="B18" s="128" t="s">
        <v>13</v>
      </c>
      <c r="C18" s="129">
        <v>28</v>
      </c>
      <c r="D18" s="129"/>
      <c r="E18" s="130"/>
      <c r="F18" s="131">
        <f t="shared" si="5"/>
        <v>0</v>
      </c>
      <c r="G18" s="130">
        <v>350</v>
      </c>
      <c r="H18" s="132">
        <f>G18*18%</f>
        <v>63</v>
      </c>
      <c r="I18" s="132">
        <f>H18+G18</f>
        <v>413</v>
      </c>
      <c r="J18" s="133">
        <v>28</v>
      </c>
      <c r="K18" s="61">
        <v>413</v>
      </c>
      <c r="L18" s="61">
        <f t="shared" si="0"/>
        <v>11564</v>
      </c>
      <c r="M18" s="142" t="s">
        <v>18</v>
      </c>
      <c r="N18" s="14" t="s">
        <v>13</v>
      </c>
      <c r="O18" s="14" t="s">
        <v>201</v>
      </c>
      <c r="P18" s="129">
        <v>28</v>
      </c>
      <c r="Q18" s="15"/>
      <c r="R18" s="15"/>
      <c r="S18" s="15"/>
      <c r="T18" s="164">
        <v>350</v>
      </c>
      <c r="U18" s="15"/>
      <c r="V18" s="164">
        <v>350</v>
      </c>
      <c r="W18" s="164">
        <f t="shared" si="1"/>
        <v>63</v>
      </c>
      <c r="X18" s="169">
        <f t="shared" si="2"/>
        <v>413</v>
      </c>
      <c r="Y18" s="169">
        <f t="shared" si="3"/>
        <v>11564</v>
      </c>
      <c r="Z18" s="95">
        <f t="shared" si="4"/>
        <v>0</v>
      </c>
    </row>
    <row r="19" spans="1:26" ht="15.75">
      <c r="A19" s="24" t="s">
        <v>19</v>
      </c>
      <c r="B19" s="9" t="s">
        <v>13</v>
      </c>
      <c r="C19" s="10">
        <v>41</v>
      </c>
      <c r="D19" s="10"/>
      <c r="E19" s="25"/>
      <c r="F19" s="25">
        <f t="shared" si="5"/>
        <v>0</v>
      </c>
      <c r="G19" s="11">
        <v>25</v>
      </c>
      <c r="H19" s="104">
        <f>+G19*18%</f>
        <v>4.5</v>
      </c>
      <c r="I19" s="104">
        <f>H19+G19</f>
        <v>29.5</v>
      </c>
      <c r="J19" s="133">
        <v>29</v>
      </c>
      <c r="K19" s="104">
        <v>29.5</v>
      </c>
      <c r="L19" s="61">
        <f t="shared" si="0"/>
        <v>855.5</v>
      </c>
      <c r="M19" s="142" t="s">
        <v>206</v>
      </c>
      <c r="N19" s="14" t="s">
        <v>13</v>
      </c>
      <c r="O19" s="14" t="s">
        <v>202</v>
      </c>
      <c r="P19" s="129">
        <v>29</v>
      </c>
      <c r="Q19" s="15"/>
      <c r="R19" s="15">
        <v>10</v>
      </c>
      <c r="S19" s="15"/>
      <c r="T19" s="164"/>
      <c r="U19" s="112"/>
      <c r="V19" s="164">
        <v>25</v>
      </c>
      <c r="W19" s="164">
        <f t="shared" si="1"/>
        <v>4.5</v>
      </c>
      <c r="X19" s="169">
        <f t="shared" si="2"/>
        <v>29.5</v>
      </c>
      <c r="Y19" s="169">
        <f t="shared" si="3"/>
        <v>855.5</v>
      </c>
      <c r="Z19" s="95">
        <f t="shared" si="4"/>
        <v>0</v>
      </c>
    </row>
    <row r="20" spans="1:26" ht="15.75">
      <c r="A20" s="24" t="s">
        <v>20</v>
      </c>
      <c r="B20" s="9" t="s">
        <v>13</v>
      </c>
      <c r="C20" s="10">
        <v>2</v>
      </c>
      <c r="D20" s="10"/>
      <c r="E20" s="25"/>
      <c r="F20" s="25">
        <f t="shared" si="5"/>
        <v>0</v>
      </c>
      <c r="G20" s="11">
        <v>15</v>
      </c>
      <c r="H20" s="104">
        <f>+G20*18%</f>
        <v>2.6999999999999997</v>
      </c>
      <c r="I20" s="104">
        <f>H20+G20</f>
        <v>17.7</v>
      </c>
      <c r="J20" s="102"/>
      <c r="K20" s="104"/>
      <c r="L20" s="61">
        <f t="shared" si="0"/>
        <v>0</v>
      </c>
      <c r="M20" s="142"/>
      <c r="N20" s="14"/>
      <c r="O20" s="14"/>
      <c r="P20" s="129"/>
      <c r="Q20" s="15"/>
      <c r="R20" s="15"/>
      <c r="S20" s="15"/>
      <c r="T20" s="164"/>
      <c r="U20" s="112"/>
      <c r="V20" s="164"/>
      <c r="W20" s="164"/>
      <c r="X20" s="169"/>
      <c r="Y20" s="169"/>
      <c r="Z20" s="95">
        <f t="shared" si="4"/>
        <v>0</v>
      </c>
    </row>
    <row r="21" spans="1:26" ht="15.75">
      <c r="A21" s="24" t="s">
        <v>21</v>
      </c>
      <c r="B21" s="9" t="s">
        <v>13</v>
      </c>
      <c r="C21" s="10">
        <v>2</v>
      </c>
      <c r="D21" s="10"/>
      <c r="E21" s="25"/>
      <c r="F21" s="25">
        <f t="shared" si="5"/>
        <v>0</v>
      </c>
      <c r="G21" s="21">
        <v>3250</v>
      </c>
      <c r="H21" s="22">
        <f>+G21*18%</f>
        <v>585</v>
      </c>
      <c r="I21" s="22">
        <f>H21+G21</f>
        <v>3835</v>
      </c>
      <c r="J21" s="133">
        <v>2</v>
      </c>
      <c r="K21" s="22">
        <v>3835</v>
      </c>
      <c r="L21" s="61">
        <f t="shared" si="0"/>
        <v>7670</v>
      </c>
      <c r="M21" s="120" t="s">
        <v>21</v>
      </c>
      <c r="N21" s="14" t="s">
        <v>13</v>
      </c>
      <c r="O21" s="9" t="s">
        <v>203</v>
      </c>
      <c r="P21" s="136">
        <v>2</v>
      </c>
      <c r="Q21" s="10"/>
      <c r="R21" s="10"/>
      <c r="S21" s="10"/>
      <c r="T21" s="166">
        <v>3250</v>
      </c>
      <c r="U21" s="25"/>
      <c r="V21" s="166">
        <v>3250</v>
      </c>
      <c r="W21" s="164">
        <f t="shared" ref="W21:W33" si="6">V21*18%</f>
        <v>585</v>
      </c>
      <c r="X21" s="167">
        <f t="shared" ref="X21:X36" si="7">W21+V21</f>
        <v>3835</v>
      </c>
      <c r="Y21" s="167">
        <f t="shared" ref="Y21:Y36" si="8">X21*P21</f>
        <v>7670</v>
      </c>
      <c r="Z21" s="95">
        <f t="shared" si="4"/>
        <v>0</v>
      </c>
    </row>
    <row r="22" spans="1:26" ht="15.75">
      <c r="A22" s="120" t="s">
        <v>182</v>
      </c>
      <c r="B22" s="9" t="s">
        <v>13</v>
      </c>
      <c r="C22" s="10"/>
      <c r="D22" s="10">
        <v>3</v>
      </c>
      <c r="E22" s="25">
        <f>11505/D22</f>
        <v>3835</v>
      </c>
      <c r="F22" s="25">
        <f t="shared" si="5"/>
        <v>11505</v>
      </c>
      <c r="G22" s="21"/>
      <c r="H22" s="22"/>
      <c r="I22" s="22"/>
      <c r="J22" s="133">
        <v>3</v>
      </c>
      <c r="K22" s="22">
        <v>3835</v>
      </c>
      <c r="L22" s="61">
        <f t="shared" si="0"/>
        <v>11505</v>
      </c>
      <c r="M22" s="120" t="s">
        <v>182</v>
      </c>
      <c r="N22" s="9" t="s">
        <v>13</v>
      </c>
      <c r="O22" s="9" t="s">
        <v>203</v>
      </c>
      <c r="P22" s="136">
        <v>3</v>
      </c>
      <c r="Q22" s="10">
        <v>3</v>
      </c>
      <c r="R22" s="10"/>
      <c r="S22" s="10"/>
      <c r="T22" s="166"/>
      <c r="U22" s="25">
        <v>3250</v>
      </c>
      <c r="V22" s="166">
        <v>3250</v>
      </c>
      <c r="W22" s="164">
        <f t="shared" si="6"/>
        <v>585</v>
      </c>
      <c r="X22" s="167">
        <f t="shared" si="7"/>
        <v>3835</v>
      </c>
      <c r="Y22" s="167">
        <f t="shared" si="8"/>
        <v>11505</v>
      </c>
      <c r="Z22" s="95">
        <f t="shared" si="4"/>
        <v>0</v>
      </c>
    </row>
    <row r="23" spans="1:26" ht="15.75">
      <c r="A23" s="64" t="s">
        <v>22</v>
      </c>
      <c r="B23" s="14" t="s">
        <v>13</v>
      </c>
      <c r="C23" s="15">
        <v>360</v>
      </c>
      <c r="D23" s="15"/>
      <c r="E23" s="112"/>
      <c r="F23" s="25">
        <f t="shared" si="5"/>
        <v>0</v>
      </c>
      <c r="G23" s="16">
        <v>256</v>
      </c>
      <c r="H23" s="61">
        <f>G23*18%</f>
        <v>46.08</v>
      </c>
      <c r="I23" s="61">
        <f>H23+G23</f>
        <v>302.08</v>
      </c>
      <c r="J23" s="133">
        <v>300</v>
      </c>
      <c r="K23" s="61">
        <v>302.08</v>
      </c>
      <c r="L23" s="61">
        <f t="shared" si="0"/>
        <v>90624</v>
      </c>
      <c r="M23" s="142" t="s">
        <v>22</v>
      </c>
      <c r="N23" s="14" t="s">
        <v>13</v>
      </c>
      <c r="O23" s="14" t="s">
        <v>201</v>
      </c>
      <c r="P23" s="129">
        <v>300</v>
      </c>
      <c r="Q23" s="15"/>
      <c r="R23" s="15">
        <v>14</v>
      </c>
      <c r="S23" s="15"/>
      <c r="T23" s="164">
        <v>256</v>
      </c>
      <c r="U23" s="15"/>
      <c r="V23" s="164">
        <v>256</v>
      </c>
      <c r="W23" s="164">
        <f t="shared" si="6"/>
        <v>46.08</v>
      </c>
      <c r="X23" s="164">
        <f t="shared" si="7"/>
        <v>302.08</v>
      </c>
      <c r="Y23" s="164">
        <f t="shared" si="8"/>
        <v>90624</v>
      </c>
      <c r="Z23" s="95">
        <f t="shared" si="4"/>
        <v>0</v>
      </c>
    </row>
    <row r="24" spans="1:26" ht="15.75">
      <c r="A24" s="123" t="s">
        <v>193</v>
      </c>
      <c r="B24" s="14"/>
      <c r="C24" s="15"/>
      <c r="D24" s="15"/>
      <c r="E24" s="112"/>
      <c r="F24" s="25"/>
      <c r="G24" s="16"/>
      <c r="H24" s="61"/>
      <c r="I24" s="61"/>
      <c r="J24" s="133">
        <v>4</v>
      </c>
      <c r="K24" s="61">
        <v>3127</v>
      </c>
      <c r="L24" s="61">
        <f t="shared" si="0"/>
        <v>12508</v>
      </c>
      <c r="M24" s="123" t="s">
        <v>193</v>
      </c>
      <c r="N24" s="124" t="s">
        <v>194</v>
      </c>
      <c r="O24" s="124" t="s">
        <v>192</v>
      </c>
      <c r="P24" s="136">
        <v>4</v>
      </c>
      <c r="Q24" s="10"/>
      <c r="R24" s="10"/>
      <c r="S24" s="10"/>
      <c r="T24" s="166">
        <v>2650</v>
      </c>
      <c r="U24" s="10"/>
      <c r="V24" s="166">
        <v>2650</v>
      </c>
      <c r="W24" s="164">
        <f t="shared" si="6"/>
        <v>477</v>
      </c>
      <c r="X24" s="166">
        <f t="shared" si="7"/>
        <v>3127</v>
      </c>
      <c r="Y24" s="166">
        <f t="shared" si="8"/>
        <v>12508</v>
      </c>
      <c r="Z24" s="95">
        <f t="shared" si="4"/>
        <v>0</v>
      </c>
    </row>
    <row r="25" spans="1:26" ht="15.75">
      <c r="A25" s="24" t="s">
        <v>23</v>
      </c>
      <c r="B25" s="9" t="s">
        <v>13</v>
      </c>
      <c r="C25" s="10">
        <v>3</v>
      </c>
      <c r="D25" s="10"/>
      <c r="E25" s="25"/>
      <c r="F25" s="25">
        <f t="shared" ref="F25:F33" si="9">D25*E25</f>
        <v>0</v>
      </c>
      <c r="G25" s="21">
        <v>2500</v>
      </c>
      <c r="H25" s="22">
        <f>+G25*18%</f>
        <v>450</v>
      </c>
      <c r="I25" s="22">
        <f>H25+G25</f>
        <v>2950</v>
      </c>
      <c r="J25" s="133">
        <v>3</v>
      </c>
      <c r="K25" s="22">
        <v>2950</v>
      </c>
      <c r="L25" s="61">
        <f t="shared" si="0"/>
        <v>8850</v>
      </c>
      <c r="M25" s="123" t="s">
        <v>23</v>
      </c>
      <c r="N25" s="9" t="s">
        <v>13</v>
      </c>
      <c r="O25" s="9" t="s">
        <v>203</v>
      </c>
      <c r="P25" s="136">
        <v>3</v>
      </c>
      <c r="Q25" s="10"/>
      <c r="R25" s="10"/>
      <c r="S25" s="10"/>
      <c r="T25" s="166">
        <v>2500</v>
      </c>
      <c r="U25" s="25"/>
      <c r="V25" s="166">
        <v>2500</v>
      </c>
      <c r="W25" s="164">
        <f t="shared" si="6"/>
        <v>450</v>
      </c>
      <c r="X25" s="167">
        <f t="shared" si="7"/>
        <v>2950</v>
      </c>
      <c r="Y25" s="167">
        <f t="shared" si="8"/>
        <v>8850</v>
      </c>
      <c r="Z25" s="95">
        <f t="shared" si="4"/>
        <v>0</v>
      </c>
    </row>
    <row r="26" spans="1:26" ht="15.75">
      <c r="A26" s="24" t="s">
        <v>24</v>
      </c>
      <c r="B26" s="9" t="s">
        <v>13</v>
      </c>
      <c r="C26" s="10">
        <v>16</v>
      </c>
      <c r="D26" s="10"/>
      <c r="E26" s="25"/>
      <c r="F26" s="25">
        <f t="shared" si="9"/>
        <v>0</v>
      </c>
      <c r="G26" s="25">
        <v>218</v>
      </c>
      <c r="H26" s="22">
        <f>+G26*18%</f>
        <v>39.24</v>
      </c>
      <c r="I26" s="22">
        <f>H26+G26</f>
        <v>257.24</v>
      </c>
      <c r="J26" s="133">
        <v>23</v>
      </c>
      <c r="K26" s="22">
        <v>257.24</v>
      </c>
      <c r="L26" s="61">
        <f t="shared" si="0"/>
        <v>5916.52</v>
      </c>
      <c r="M26" s="120" t="s">
        <v>24</v>
      </c>
      <c r="N26" s="9" t="s">
        <v>13</v>
      </c>
      <c r="O26" s="9" t="s">
        <v>203</v>
      </c>
      <c r="P26" s="136">
        <v>23</v>
      </c>
      <c r="Q26" s="10"/>
      <c r="R26" s="10">
        <v>1</v>
      </c>
      <c r="S26" s="10"/>
      <c r="T26" s="170">
        <v>218</v>
      </c>
      <c r="U26" s="25"/>
      <c r="V26" s="170">
        <v>218</v>
      </c>
      <c r="W26" s="164">
        <f t="shared" si="6"/>
        <v>39.24</v>
      </c>
      <c r="X26" s="167">
        <f t="shared" si="7"/>
        <v>257.24</v>
      </c>
      <c r="Y26" s="167">
        <f t="shared" si="8"/>
        <v>5916.52</v>
      </c>
      <c r="Z26" s="95">
        <f t="shared" si="4"/>
        <v>0</v>
      </c>
    </row>
    <row r="27" spans="1:26" ht="15.75">
      <c r="A27" s="123" t="s">
        <v>178</v>
      </c>
      <c r="B27" s="124" t="s">
        <v>13</v>
      </c>
      <c r="C27" s="10"/>
      <c r="D27" s="10">
        <v>15</v>
      </c>
      <c r="E27" s="25">
        <f>6195/15</f>
        <v>413</v>
      </c>
      <c r="F27" s="25">
        <f t="shared" si="9"/>
        <v>6195</v>
      </c>
      <c r="G27" s="25"/>
      <c r="H27" s="22"/>
      <c r="I27" s="22"/>
      <c r="J27" s="133">
        <v>15</v>
      </c>
      <c r="K27" s="22">
        <v>413</v>
      </c>
      <c r="L27" s="61">
        <f t="shared" si="0"/>
        <v>6195</v>
      </c>
      <c r="M27" s="120" t="s">
        <v>178</v>
      </c>
      <c r="N27" s="124" t="s">
        <v>13</v>
      </c>
      <c r="O27" s="124" t="s">
        <v>203</v>
      </c>
      <c r="P27" s="136">
        <v>15</v>
      </c>
      <c r="Q27" s="10">
        <v>15</v>
      </c>
      <c r="R27" s="10"/>
      <c r="S27" s="10"/>
      <c r="T27" s="166">
        <v>0</v>
      </c>
      <c r="U27" s="25">
        <v>350</v>
      </c>
      <c r="V27" s="166">
        <v>350</v>
      </c>
      <c r="W27" s="164">
        <f t="shared" si="6"/>
        <v>63</v>
      </c>
      <c r="X27" s="167">
        <f t="shared" si="7"/>
        <v>413</v>
      </c>
      <c r="Y27" s="167">
        <f t="shared" si="8"/>
        <v>6195</v>
      </c>
      <c r="Z27" s="95">
        <f t="shared" si="4"/>
        <v>0</v>
      </c>
    </row>
    <row r="28" spans="1:26" ht="15.75">
      <c r="A28" s="119" t="s">
        <v>25</v>
      </c>
      <c r="B28" s="9" t="s">
        <v>13</v>
      </c>
      <c r="C28" s="10">
        <v>2</v>
      </c>
      <c r="D28" s="10">
        <v>10</v>
      </c>
      <c r="E28" s="25">
        <f>3304/10</f>
        <v>330.4</v>
      </c>
      <c r="F28" s="25">
        <f t="shared" si="9"/>
        <v>3304</v>
      </c>
      <c r="G28" s="21">
        <v>205.67</v>
      </c>
      <c r="H28" s="22">
        <f>+G28*18%</f>
        <v>37.020599999999995</v>
      </c>
      <c r="I28" s="22">
        <f>H28+G28</f>
        <v>242.69059999999999</v>
      </c>
      <c r="J28" s="133">
        <v>6</v>
      </c>
      <c r="K28" s="22">
        <v>330.4</v>
      </c>
      <c r="L28" s="61">
        <f t="shared" si="0"/>
        <v>1982.3999999999999</v>
      </c>
      <c r="M28" s="120" t="s">
        <v>207</v>
      </c>
      <c r="N28" s="9" t="s">
        <v>13</v>
      </c>
      <c r="O28" s="9" t="s">
        <v>203</v>
      </c>
      <c r="P28" s="136">
        <v>6</v>
      </c>
      <c r="Q28" s="10">
        <v>10</v>
      </c>
      <c r="R28" s="10">
        <v>2</v>
      </c>
      <c r="S28" s="10"/>
      <c r="T28" s="166">
        <v>205.67</v>
      </c>
      <c r="U28" s="25">
        <v>280</v>
      </c>
      <c r="V28" s="166">
        <v>280</v>
      </c>
      <c r="W28" s="164">
        <f t="shared" si="6"/>
        <v>50.4</v>
      </c>
      <c r="X28" s="167">
        <f t="shared" si="7"/>
        <v>330.4</v>
      </c>
      <c r="Y28" s="167">
        <f t="shared" si="8"/>
        <v>1982.3999999999999</v>
      </c>
      <c r="Z28" s="95">
        <f t="shared" si="4"/>
        <v>0</v>
      </c>
    </row>
    <row r="29" spans="1:26" ht="15.75">
      <c r="A29" s="24" t="s">
        <v>173</v>
      </c>
      <c r="B29" s="9" t="s">
        <v>13</v>
      </c>
      <c r="C29" s="10"/>
      <c r="D29" s="10">
        <v>30</v>
      </c>
      <c r="E29" s="25">
        <f>12390/30</f>
        <v>413</v>
      </c>
      <c r="F29" s="25">
        <f t="shared" si="9"/>
        <v>12390</v>
      </c>
      <c r="G29" s="21"/>
      <c r="H29" s="22"/>
      <c r="I29" s="22"/>
      <c r="J29" s="133">
        <v>23</v>
      </c>
      <c r="K29" s="22">
        <v>413</v>
      </c>
      <c r="L29" s="61">
        <f t="shared" si="0"/>
        <v>9499</v>
      </c>
      <c r="M29" s="120" t="s">
        <v>208</v>
      </c>
      <c r="N29" s="9" t="s">
        <v>13</v>
      </c>
      <c r="O29" s="9" t="s">
        <v>203</v>
      </c>
      <c r="P29" s="136">
        <v>23</v>
      </c>
      <c r="Q29" s="10">
        <v>30</v>
      </c>
      <c r="R29" s="10">
        <v>9</v>
      </c>
      <c r="S29" s="10"/>
      <c r="T29" s="166"/>
      <c r="U29" s="25">
        <v>350</v>
      </c>
      <c r="V29" s="166">
        <v>350</v>
      </c>
      <c r="W29" s="164">
        <f t="shared" si="6"/>
        <v>63</v>
      </c>
      <c r="X29" s="167">
        <f t="shared" si="7"/>
        <v>413</v>
      </c>
      <c r="Y29" s="167">
        <f t="shared" si="8"/>
        <v>9499</v>
      </c>
      <c r="Z29" s="95">
        <f t="shared" si="4"/>
        <v>0</v>
      </c>
    </row>
    <row r="30" spans="1:26" ht="15.75">
      <c r="A30" s="24" t="s">
        <v>26</v>
      </c>
      <c r="B30" s="9" t="s">
        <v>13</v>
      </c>
      <c r="C30" s="10">
        <v>19</v>
      </c>
      <c r="D30" s="10"/>
      <c r="E30" s="25"/>
      <c r="F30" s="25">
        <f t="shared" si="9"/>
        <v>0</v>
      </c>
      <c r="G30" s="21">
        <v>69.17</v>
      </c>
      <c r="H30" s="22">
        <f>+G30*18%</f>
        <v>12.4506</v>
      </c>
      <c r="I30" s="22">
        <f>H30+G30</f>
        <v>81.620599999999996</v>
      </c>
      <c r="J30" s="133">
        <v>15</v>
      </c>
      <c r="K30" s="22">
        <v>81.62</v>
      </c>
      <c r="L30" s="61">
        <f t="shared" si="0"/>
        <v>1224.3000000000002</v>
      </c>
      <c r="M30" s="120" t="s">
        <v>26</v>
      </c>
      <c r="N30" s="9" t="s">
        <v>13</v>
      </c>
      <c r="O30" s="9" t="s">
        <v>203</v>
      </c>
      <c r="P30" s="136">
        <v>15</v>
      </c>
      <c r="Q30" s="10"/>
      <c r="R30" s="10"/>
      <c r="S30" s="10"/>
      <c r="T30" s="166">
        <v>69.17</v>
      </c>
      <c r="U30" s="25"/>
      <c r="V30" s="166">
        <v>69.17</v>
      </c>
      <c r="W30" s="164">
        <f t="shared" si="6"/>
        <v>12.4506</v>
      </c>
      <c r="X30" s="167">
        <f t="shared" si="7"/>
        <v>81.620599999999996</v>
      </c>
      <c r="Y30" s="167">
        <f t="shared" si="8"/>
        <v>1224.309</v>
      </c>
      <c r="Z30" s="95">
        <f t="shared" si="4"/>
        <v>-5.9999999999149622E-4</v>
      </c>
    </row>
    <row r="31" spans="1:26" ht="15.75">
      <c r="A31" s="24" t="s">
        <v>27</v>
      </c>
      <c r="B31" s="9" t="s">
        <v>13</v>
      </c>
      <c r="C31" s="10">
        <v>17</v>
      </c>
      <c r="D31" s="10"/>
      <c r="E31" s="25"/>
      <c r="F31" s="25">
        <f t="shared" si="9"/>
        <v>0</v>
      </c>
      <c r="G31" s="11">
        <v>55</v>
      </c>
      <c r="H31" s="104">
        <f>+G31*18%</f>
        <v>9.9</v>
      </c>
      <c r="I31" s="104">
        <f>H31+G31</f>
        <v>64.900000000000006</v>
      </c>
      <c r="J31" s="133">
        <v>4</v>
      </c>
      <c r="K31" s="104">
        <v>64.900000000000006</v>
      </c>
      <c r="L31" s="61">
        <f t="shared" si="0"/>
        <v>259.60000000000002</v>
      </c>
      <c r="M31" s="120" t="s">
        <v>27</v>
      </c>
      <c r="N31" s="9" t="s">
        <v>13</v>
      </c>
      <c r="O31" s="9" t="s">
        <v>202</v>
      </c>
      <c r="P31" s="136">
        <v>4</v>
      </c>
      <c r="Q31" s="10"/>
      <c r="R31" s="10"/>
      <c r="S31" s="10"/>
      <c r="T31" s="166">
        <v>55</v>
      </c>
      <c r="U31" s="10"/>
      <c r="V31" s="166">
        <v>55</v>
      </c>
      <c r="W31" s="164">
        <f t="shared" si="6"/>
        <v>9.9</v>
      </c>
      <c r="X31" s="166">
        <f t="shared" si="7"/>
        <v>64.900000000000006</v>
      </c>
      <c r="Y31" s="166">
        <f t="shared" si="8"/>
        <v>259.60000000000002</v>
      </c>
      <c r="Z31" s="95">
        <f t="shared" si="4"/>
        <v>0</v>
      </c>
    </row>
    <row r="32" spans="1:26" ht="15.75">
      <c r="A32" s="24" t="s">
        <v>28</v>
      </c>
      <c r="B32" s="9" t="s">
        <v>29</v>
      </c>
      <c r="C32" s="10">
        <v>16</v>
      </c>
      <c r="D32" s="10">
        <v>10</v>
      </c>
      <c r="E32" s="25">
        <f>1770/D32</f>
        <v>177</v>
      </c>
      <c r="F32" s="25">
        <f t="shared" si="9"/>
        <v>1770</v>
      </c>
      <c r="G32" s="21">
        <v>57.29</v>
      </c>
      <c r="H32" s="22">
        <f>+G32*18%</f>
        <v>10.312199999999999</v>
      </c>
      <c r="I32" s="22">
        <f>H32+G32</f>
        <v>67.602199999999996</v>
      </c>
      <c r="J32" s="133">
        <v>26</v>
      </c>
      <c r="K32" s="22">
        <v>67.900000000000006</v>
      </c>
      <c r="L32" s="61">
        <f t="shared" si="0"/>
        <v>1765.4</v>
      </c>
      <c r="M32" s="120" t="s">
        <v>28</v>
      </c>
      <c r="N32" s="9" t="s">
        <v>29</v>
      </c>
      <c r="O32" s="9" t="s">
        <v>203</v>
      </c>
      <c r="P32" s="145">
        <v>26</v>
      </c>
      <c r="Q32" s="10">
        <v>10</v>
      </c>
      <c r="R32" s="10"/>
      <c r="S32" s="10"/>
      <c r="T32" s="166">
        <v>57.29</v>
      </c>
      <c r="U32" s="25">
        <v>150</v>
      </c>
      <c r="V32" s="166">
        <v>150</v>
      </c>
      <c r="W32" s="164">
        <f t="shared" si="6"/>
        <v>27</v>
      </c>
      <c r="X32" s="167">
        <f t="shared" si="7"/>
        <v>177</v>
      </c>
      <c r="Y32" s="167">
        <f t="shared" si="8"/>
        <v>4602</v>
      </c>
      <c r="Z32" s="95">
        <f t="shared" si="4"/>
        <v>-109.1</v>
      </c>
    </row>
    <row r="33" spans="1:26" ht="15.75">
      <c r="A33" s="24" t="s">
        <v>33</v>
      </c>
      <c r="B33" s="9" t="s">
        <v>31</v>
      </c>
      <c r="C33" s="10">
        <v>13</v>
      </c>
      <c r="D33" s="10"/>
      <c r="E33" s="25"/>
      <c r="F33" s="25">
        <f t="shared" si="9"/>
        <v>0</v>
      </c>
      <c r="G33" s="21">
        <v>26.96</v>
      </c>
      <c r="H33" s="22">
        <f>+G33*18%</f>
        <v>4.8528000000000002</v>
      </c>
      <c r="I33" s="22">
        <f>H33+G33</f>
        <v>31.812800000000003</v>
      </c>
      <c r="J33" s="133">
        <v>8</v>
      </c>
      <c r="K33" s="22">
        <v>31.81</v>
      </c>
      <c r="L33" s="61">
        <f t="shared" si="0"/>
        <v>254.48</v>
      </c>
      <c r="M33" s="120" t="s">
        <v>33</v>
      </c>
      <c r="N33" s="9" t="s">
        <v>31</v>
      </c>
      <c r="O33" s="9" t="s">
        <v>203</v>
      </c>
      <c r="P33" s="145">
        <v>8</v>
      </c>
      <c r="Q33" s="10"/>
      <c r="R33" s="10">
        <v>2</v>
      </c>
      <c r="S33" s="10"/>
      <c r="T33" s="166"/>
      <c r="U33" s="25"/>
      <c r="V33" s="166">
        <v>26.96</v>
      </c>
      <c r="W33" s="164">
        <f t="shared" si="6"/>
        <v>4.8528000000000002</v>
      </c>
      <c r="X33" s="167">
        <f t="shared" si="7"/>
        <v>31.812800000000003</v>
      </c>
      <c r="Y33" s="167">
        <f t="shared" si="8"/>
        <v>254.50240000000002</v>
      </c>
      <c r="Z33" s="95">
        <f t="shared" si="4"/>
        <v>-2.8000000000041325E-3</v>
      </c>
    </row>
    <row r="34" spans="1:26" ht="15.75">
      <c r="A34" s="120" t="s">
        <v>199</v>
      </c>
      <c r="B34" s="9"/>
      <c r="C34" s="10"/>
      <c r="D34" s="10"/>
      <c r="E34" s="25"/>
      <c r="F34" s="25"/>
      <c r="G34" s="21"/>
      <c r="H34" s="22"/>
      <c r="I34" s="22"/>
      <c r="J34" s="133">
        <v>20</v>
      </c>
      <c r="K34" s="22">
        <v>26.96</v>
      </c>
      <c r="L34" s="61">
        <f t="shared" si="0"/>
        <v>539.20000000000005</v>
      </c>
      <c r="M34" s="120" t="s">
        <v>199</v>
      </c>
      <c r="N34" s="9" t="s">
        <v>31</v>
      </c>
      <c r="O34" s="9" t="s">
        <v>203</v>
      </c>
      <c r="P34" s="10">
        <v>20</v>
      </c>
      <c r="Q34" s="10"/>
      <c r="R34" s="10"/>
      <c r="S34" s="10"/>
      <c r="T34" s="166"/>
      <c r="U34" s="25">
        <v>26.96</v>
      </c>
      <c r="V34" s="166">
        <v>26.96</v>
      </c>
      <c r="W34" s="164"/>
      <c r="X34" s="167">
        <f t="shared" si="7"/>
        <v>26.96</v>
      </c>
      <c r="Y34" s="167">
        <f t="shared" si="8"/>
        <v>539.20000000000005</v>
      </c>
      <c r="Z34" s="95">
        <f t="shared" si="4"/>
        <v>0</v>
      </c>
    </row>
    <row r="35" spans="1:26" ht="15.75">
      <c r="A35" s="24" t="s">
        <v>34</v>
      </c>
      <c r="B35" s="9" t="s">
        <v>31</v>
      </c>
      <c r="C35" s="10">
        <v>18</v>
      </c>
      <c r="D35" s="10">
        <v>20</v>
      </c>
      <c r="E35" s="25">
        <f>4248/D35</f>
        <v>212.4</v>
      </c>
      <c r="F35" s="25">
        <f t="shared" ref="F35:F70" si="10">D35*E35</f>
        <v>4248</v>
      </c>
      <c r="G35" s="21">
        <v>122.14</v>
      </c>
      <c r="H35" s="22">
        <f>+G35*18%</f>
        <v>21.985199999999999</v>
      </c>
      <c r="I35" s="22">
        <f>H35+G35</f>
        <v>144.12520000000001</v>
      </c>
      <c r="J35" s="133">
        <v>33</v>
      </c>
      <c r="K35" s="22">
        <v>212.4</v>
      </c>
      <c r="L35" s="61">
        <f t="shared" si="0"/>
        <v>7009.2</v>
      </c>
      <c r="M35" s="120" t="s">
        <v>34</v>
      </c>
      <c r="N35" s="9" t="s">
        <v>31</v>
      </c>
      <c r="O35" s="9" t="s">
        <v>203</v>
      </c>
      <c r="P35" s="136">
        <v>33</v>
      </c>
      <c r="Q35" s="10">
        <v>20</v>
      </c>
      <c r="R35" s="10">
        <v>2</v>
      </c>
      <c r="S35" s="10"/>
      <c r="T35" s="21">
        <v>122.14</v>
      </c>
      <c r="U35" s="25">
        <v>210</v>
      </c>
      <c r="V35" s="21">
        <v>210</v>
      </c>
      <c r="W35" s="164">
        <f>V35*18%</f>
        <v>37.799999999999997</v>
      </c>
      <c r="X35" s="167">
        <f t="shared" si="7"/>
        <v>247.8</v>
      </c>
      <c r="Y35" s="167">
        <f t="shared" si="8"/>
        <v>8177.4000000000005</v>
      </c>
      <c r="Z35" s="95">
        <f t="shared" si="4"/>
        <v>-35.400000000000006</v>
      </c>
    </row>
    <row r="36" spans="1:26" ht="15.75">
      <c r="A36" s="24" t="s">
        <v>35</v>
      </c>
      <c r="B36" s="9" t="s">
        <v>31</v>
      </c>
      <c r="C36" s="10">
        <v>36</v>
      </c>
      <c r="D36" s="10">
        <v>15</v>
      </c>
      <c r="E36" s="25">
        <f>3717/D36</f>
        <v>247.8</v>
      </c>
      <c r="F36" s="25">
        <f t="shared" si="10"/>
        <v>3717</v>
      </c>
      <c r="G36" s="21">
        <v>176.15</v>
      </c>
      <c r="H36" s="22">
        <f>+G36*18%</f>
        <v>31.707000000000001</v>
      </c>
      <c r="I36" s="22">
        <f>H36+G36</f>
        <v>207.857</v>
      </c>
      <c r="J36" s="133">
        <v>33</v>
      </c>
      <c r="K36" s="22">
        <v>207.86</v>
      </c>
      <c r="L36" s="61">
        <f t="shared" si="0"/>
        <v>6859.38</v>
      </c>
      <c r="M36" s="120" t="s">
        <v>35</v>
      </c>
      <c r="N36" s="9" t="s">
        <v>31</v>
      </c>
      <c r="O36" s="9" t="s">
        <v>203</v>
      </c>
      <c r="P36" s="136">
        <v>33</v>
      </c>
      <c r="Q36" s="10">
        <v>15</v>
      </c>
      <c r="R36" s="10"/>
      <c r="S36" s="10"/>
      <c r="T36" s="21">
        <v>176.15</v>
      </c>
      <c r="U36" s="25">
        <v>150</v>
      </c>
      <c r="V36" s="21">
        <v>150</v>
      </c>
      <c r="W36" s="164">
        <f>V36*18%</f>
        <v>27</v>
      </c>
      <c r="X36" s="167">
        <f t="shared" si="7"/>
        <v>177</v>
      </c>
      <c r="Y36" s="167">
        <f t="shared" si="8"/>
        <v>5841</v>
      </c>
      <c r="Z36" s="95">
        <f t="shared" si="4"/>
        <v>30.860000000000014</v>
      </c>
    </row>
    <row r="37" spans="1:26" ht="15.75">
      <c r="A37" s="119" t="s">
        <v>32</v>
      </c>
      <c r="B37" s="135" t="s">
        <v>31</v>
      </c>
      <c r="C37" s="136">
        <v>44</v>
      </c>
      <c r="D37" s="10"/>
      <c r="E37" s="25"/>
      <c r="F37" s="25">
        <f t="shared" si="10"/>
        <v>0</v>
      </c>
      <c r="G37" s="21">
        <v>53</v>
      </c>
      <c r="H37" s="22">
        <f>+G37*18%</f>
        <v>9.5399999999999991</v>
      </c>
      <c r="I37" s="22">
        <f>H37+G37</f>
        <v>62.54</v>
      </c>
      <c r="J37" s="102"/>
      <c r="K37" s="22"/>
      <c r="L37" s="61">
        <f t="shared" si="0"/>
        <v>0</v>
      </c>
      <c r="M37" s="120"/>
      <c r="N37" s="9"/>
      <c r="O37" s="9"/>
      <c r="P37" s="136"/>
      <c r="Q37" s="10"/>
      <c r="R37" s="10"/>
      <c r="S37" s="10"/>
      <c r="T37" s="21"/>
      <c r="U37" s="25"/>
      <c r="V37" s="21"/>
      <c r="W37" s="164"/>
      <c r="X37" s="167"/>
      <c r="Y37" s="167"/>
      <c r="Z37" s="95">
        <f t="shared" si="4"/>
        <v>0</v>
      </c>
    </row>
    <row r="38" spans="1:26" ht="15.75">
      <c r="A38" s="120" t="s">
        <v>177</v>
      </c>
      <c r="B38" s="9" t="s">
        <v>31</v>
      </c>
      <c r="C38" s="10"/>
      <c r="D38" s="10">
        <v>40</v>
      </c>
      <c r="E38" s="25">
        <f>2124/D38</f>
        <v>53.1</v>
      </c>
      <c r="F38" s="25">
        <f t="shared" si="10"/>
        <v>2124</v>
      </c>
      <c r="G38" s="21"/>
      <c r="H38" s="22"/>
      <c r="I38" s="22"/>
      <c r="J38" s="133">
        <v>76</v>
      </c>
      <c r="K38" s="22">
        <v>53.1</v>
      </c>
      <c r="L38" s="61">
        <f t="shared" si="0"/>
        <v>4035.6</v>
      </c>
      <c r="M38" s="120" t="s">
        <v>209</v>
      </c>
      <c r="N38" s="9" t="s">
        <v>31</v>
      </c>
      <c r="O38" s="9" t="s">
        <v>203</v>
      </c>
      <c r="P38" s="145">
        <v>76</v>
      </c>
      <c r="Q38" s="10">
        <v>40</v>
      </c>
      <c r="R38" s="10">
        <v>8</v>
      </c>
      <c r="S38" s="10"/>
      <c r="T38" s="166">
        <v>62.54</v>
      </c>
      <c r="U38" s="25">
        <v>45</v>
      </c>
      <c r="V38" s="166">
        <v>45</v>
      </c>
      <c r="W38" s="164">
        <f>V38*18%</f>
        <v>8.1</v>
      </c>
      <c r="X38" s="167">
        <f>W38+V38</f>
        <v>53.1</v>
      </c>
      <c r="Y38" s="167">
        <f>X38*P38</f>
        <v>4035.6</v>
      </c>
      <c r="Z38" s="95">
        <f t="shared" si="4"/>
        <v>0</v>
      </c>
    </row>
    <row r="39" spans="1:26" ht="15.75">
      <c r="A39" s="119" t="s">
        <v>30</v>
      </c>
      <c r="B39" s="135" t="s">
        <v>31</v>
      </c>
      <c r="C39" s="136">
        <v>80</v>
      </c>
      <c r="D39" s="10"/>
      <c r="E39" s="25"/>
      <c r="F39" s="25">
        <f t="shared" si="10"/>
        <v>0</v>
      </c>
      <c r="G39" s="21">
        <v>17.14</v>
      </c>
      <c r="H39" s="22">
        <f>+G39*18%</f>
        <v>3.0851999999999999</v>
      </c>
      <c r="I39" s="22">
        <f>H39+G39</f>
        <v>20.225200000000001</v>
      </c>
      <c r="J39" s="102"/>
      <c r="K39" s="22"/>
      <c r="L39" s="61">
        <f t="shared" ref="L39:L70" si="11">J39*K39</f>
        <v>0</v>
      </c>
      <c r="M39" s="120"/>
      <c r="N39" s="9"/>
      <c r="O39" s="9"/>
      <c r="P39" s="145"/>
      <c r="Q39" s="10"/>
      <c r="R39" s="10"/>
      <c r="S39" s="10"/>
      <c r="T39" s="166"/>
      <c r="U39" s="25"/>
      <c r="V39" s="166"/>
      <c r="W39" s="164"/>
      <c r="X39" s="167"/>
      <c r="Y39" s="167"/>
      <c r="Z39" s="95">
        <f t="shared" si="4"/>
        <v>0</v>
      </c>
    </row>
    <row r="40" spans="1:26" ht="15.75">
      <c r="A40" s="120" t="s">
        <v>176</v>
      </c>
      <c r="B40" s="9" t="s">
        <v>31</v>
      </c>
      <c r="C40" s="10"/>
      <c r="D40" s="10">
        <v>40</v>
      </c>
      <c r="E40" s="25">
        <f>1062/D40</f>
        <v>26.55</v>
      </c>
      <c r="F40" s="25">
        <f t="shared" si="10"/>
        <v>1062</v>
      </c>
      <c r="G40" s="21"/>
      <c r="H40" s="22"/>
      <c r="I40" s="22"/>
      <c r="J40" s="133">
        <v>112</v>
      </c>
      <c r="K40" s="22">
        <v>26.55</v>
      </c>
      <c r="L40" s="61">
        <f t="shared" si="11"/>
        <v>2973.6</v>
      </c>
      <c r="M40" s="120" t="s">
        <v>176</v>
      </c>
      <c r="N40" s="9" t="s">
        <v>31</v>
      </c>
      <c r="O40" s="9" t="s">
        <v>203</v>
      </c>
      <c r="P40" s="145">
        <v>112</v>
      </c>
      <c r="Q40" s="10">
        <v>40</v>
      </c>
      <c r="R40" s="10">
        <v>8</v>
      </c>
      <c r="S40" s="10"/>
      <c r="T40" s="166">
        <v>20.23</v>
      </c>
      <c r="U40" s="25">
        <v>22.5</v>
      </c>
      <c r="V40" s="166">
        <v>22.5</v>
      </c>
      <c r="W40" s="164">
        <f>V40*18%</f>
        <v>4.05</v>
      </c>
      <c r="X40" s="167">
        <f>W40+V40</f>
        <v>26.55</v>
      </c>
      <c r="Y40" s="167">
        <f>X40*P40</f>
        <v>2973.6</v>
      </c>
      <c r="Z40" s="95">
        <f t="shared" si="4"/>
        <v>0</v>
      </c>
    </row>
    <row r="41" spans="1:26" ht="15.75">
      <c r="A41" s="24" t="s">
        <v>36</v>
      </c>
      <c r="B41" s="9" t="s">
        <v>9</v>
      </c>
      <c r="C41" s="10">
        <v>87</v>
      </c>
      <c r="D41" s="10"/>
      <c r="E41" s="25"/>
      <c r="F41" s="25">
        <f t="shared" si="10"/>
        <v>0</v>
      </c>
      <c r="G41" s="11">
        <v>55</v>
      </c>
      <c r="H41" s="104">
        <f>+G41*18%</f>
        <v>9.9</v>
      </c>
      <c r="I41" s="104">
        <f>H41+G41</f>
        <v>64.900000000000006</v>
      </c>
      <c r="J41" s="133">
        <v>71</v>
      </c>
      <c r="K41" s="104">
        <v>64.900000000000006</v>
      </c>
      <c r="L41" s="61">
        <f t="shared" si="11"/>
        <v>4607.9000000000005</v>
      </c>
      <c r="M41" s="120" t="s">
        <v>36</v>
      </c>
      <c r="N41" s="9" t="s">
        <v>9</v>
      </c>
      <c r="O41" s="9" t="s">
        <v>202</v>
      </c>
      <c r="P41" s="136">
        <v>71</v>
      </c>
      <c r="Q41" s="10"/>
      <c r="R41" s="10">
        <v>5</v>
      </c>
      <c r="S41" s="10"/>
      <c r="T41" s="166">
        <v>55</v>
      </c>
      <c r="U41" s="10"/>
      <c r="V41" s="166">
        <v>55</v>
      </c>
      <c r="W41" s="164">
        <f>V41*18%</f>
        <v>9.9</v>
      </c>
      <c r="X41" s="166">
        <f>W41+V41</f>
        <v>64.900000000000006</v>
      </c>
      <c r="Y41" s="166">
        <f>X41*P41</f>
        <v>4607.9000000000005</v>
      </c>
      <c r="Z41" s="95">
        <f t="shared" si="4"/>
        <v>0</v>
      </c>
    </row>
    <row r="42" spans="1:26" ht="15.75">
      <c r="A42" s="120" t="s">
        <v>185</v>
      </c>
      <c r="B42" s="9" t="s">
        <v>13</v>
      </c>
      <c r="C42" s="10"/>
      <c r="D42" s="10">
        <v>12</v>
      </c>
      <c r="E42" s="25">
        <f>821.28/D42</f>
        <v>68.44</v>
      </c>
      <c r="F42" s="25">
        <f t="shared" si="10"/>
        <v>821.28</v>
      </c>
      <c r="G42" s="11"/>
      <c r="H42" s="104"/>
      <c r="I42" s="104"/>
      <c r="J42" s="133">
        <v>11</v>
      </c>
      <c r="K42" s="104">
        <v>68.44</v>
      </c>
      <c r="L42" s="61">
        <f t="shared" si="11"/>
        <v>752.83999999999992</v>
      </c>
      <c r="M42" s="120" t="s">
        <v>185</v>
      </c>
      <c r="N42" s="9" t="s">
        <v>13</v>
      </c>
      <c r="O42" s="9" t="s">
        <v>203</v>
      </c>
      <c r="P42" s="136">
        <v>11</v>
      </c>
      <c r="Q42" s="10">
        <v>12</v>
      </c>
      <c r="R42" s="10"/>
      <c r="S42" s="10"/>
      <c r="T42" s="166"/>
      <c r="U42" s="25">
        <v>58</v>
      </c>
      <c r="V42" s="166">
        <v>58</v>
      </c>
      <c r="W42" s="164">
        <f>V42*18%</f>
        <v>10.44</v>
      </c>
      <c r="X42" s="167">
        <f>W42+V42</f>
        <v>68.44</v>
      </c>
      <c r="Y42" s="167">
        <f>X42*P42</f>
        <v>752.83999999999992</v>
      </c>
      <c r="Z42" s="95">
        <f t="shared" si="4"/>
        <v>0</v>
      </c>
    </row>
    <row r="43" spans="1:26" ht="15.75">
      <c r="A43" s="24" t="s">
        <v>37</v>
      </c>
      <c r="B43" s="9" t="s">
        <v>13</v>
      </c>
      <c r="C43" s="10">
        <v>41</v>
      </c>
      <c r="D43" s="10">
        <v>36</v>
      </c>
      <c r="E43" s="25">
        <v>59</v>
      </c>
      <c r="F43" s="25">
        <f t="shared" si="10"/>
        <v>2124</v>
      </c>
      <c r="G43" s="21">
        <v>20</v>
      </c>
      <c r="H43" s="22">
        <f>+G43*18%</f>
        <v>3.5999999999999996</v>
      </c>
      <c r="I43" s="22">
        <f t="shared" ref="I43:I70" si="12">H43+G43</f>
        <v>23.6</v>
      </c>
      <c r="J43" s="133">
        <v>39</v>
      </c>
      <c r="K43" s="22">
        <v>59</v>
      </c>
      <c r="L43" s="61">
        <f t="shared" si="11"/>
        <v>2301</v>
      </c>
      <c r="M43" s="120" t="s">
        <v>37</v>
      </c>
      <c r="N43" s="9" t="s">
        <v>13</v>
      </c>
      <c r="O43" s="9" t="s">
        <v>203</v>
      </c>
      <c r="P43" s="136">
        <v>39</v>
      </c>
      <c r="Q43" s="10"/>
      <c r="R43" s="10">
        <v>2</v>
      </c>
      <c r="S43" s="10"/>
      <c r="T43" s="166">
        <v>20</v>
      </c>
      <c r="U43" s="25"/>
      <c r="V43" s="166">
        <v>20</v>
      </c>
      <c r="W43" s="164">
        <f>V43*18%</f>
        <v>3.5999999999999996</v>
      </c>
      <c r="X43" s="167">
        <f>W43+V43</f>
        <v>23.6</v>
      </c>
      <c r="Y43" s="167">
        <f>X43*P43</f>
        <v>920.40000000000009</v>
      </c>
      <c r="Z43" s="95">
        <f t="shared" si="4"/>
        <v>35.4</v>
      </c>
    </row>
    <row r="44" spans="1:26" ht="15.75">
      <c r="A44" s="24" t="s">
        <v>38</v>
      </c>
      <c r="B44" s="9" t="s">
        <v>13</v>
      </c>
      <c r="C44" s="10">
        <v>22</v>
      </c>
      <c r="D44" s="10"/>
      <c r="E44" s="25"/>
      <c r="F44" s="25">
        <f t="shared" si="10"/>
        <v>0</v>
      </c>
      <c r="G44" s="21">
        <v>37.46</v>
      </c>
      <c r="H44" s="22"/>
      <c r="I44" s="22">
        <f t="shared" si="12"/>
        <v>37.46</v>
      </c>
      <c r="J44" s="133">
        <v>54</v>
      </c>
      <c r="K44" s="22">
        <v>37.46</v>
      </c>
      <c r="L44" s="61">
        <f t="shared" si="11"/>
        <v>2022.8400000000001</v>
      </c>
      <c r="M44" s="120" t="s">
        <v>38</v>
      </c>
      <c r="N44" s="9" t="s">
        <v>13</v>
      </c>
      <c r="O44" s="9" t="s">
        <v>203</v>
      </c>
      <c r="P44" s="136">
        <v>54</v>
      </c>
      <c r="Q44" s="10">
        <v>36</v>
      </c>
      <c r="R44" s="10">
        <v>4</v>
      </c>
      <c r="S44" s="10"/>
      <c r="T44" s="166">
        <v>37.46</v>
      </c>
      <c r="U44" s="25">
        <v>50</v>
      </c>
      <c r="V44" s="166">
        <v>50</v>
      </c>
      <c r="W44" s="164">
        <f>V44*18%</f>
        <v>9</v>
      </c>
      <c r="X44" s="167">
        <f>W44+V44</f>
        <v>59</v>
      </c>
      <c r="Y44" s="167">
        <f>X44*P44</f>
        <v>3186</v>
      </c>
      <c r="Z44" s="95">
        <f t="shared" si="4"/>
        <v>-21.54</v>
      </c>
    </row>
    <row r="45" spans="1:26" ht="15.75">
      <c r="A45" s="64" t="s">
        <v>39</v>
      </c>
      <c r="B45" s="14" t="s">
        <v>13</v>
      </c>
      <c r="C45" s="15">
        <v>3</v>
      </c>
      <c r="D45" s="15"/>
      <c r="E45" s="112"/>
      <c r="F45" s="25">
        <f t="shared" si="10"/>
        <v>0</v>
      </c>
      <c r="G45" s="16">
        <v>415</v>
      </c>
      <c r="H45" s="61">
        <f>G45*18%</f>
        <v>74.7</v>
      </c>
      <c r="I45" s="61">
        <f t="shared" si="12"/>
        <v>489.7</v>
      </c>
      <c r="J45" s="102">
        <v>0</v>
      </c>
      <c r="K45" s="61"/>
      <c r="L45" s="61">
        <f t="shared" si="11"/>
        <v>0</v>
      </c>
      <c r="M45" s="120"/>
      <c r="N45" s="9"/>
      <c r="O45" s="9"/>
      <c r="P45" s="136"/>
      <c r="Q45" s="10"/>
      <c r="R45" s="10"/>
      <c r="S45" s="10"/>
      <c r="T45" s="166"/>
      <c r="U45" s="25"/>
      <c r="V45" s="166"/>
      <c r="W45" s="164"/>
      <c r="X45" s="167"/>
      <c r="Y45" s="167"/>
      <c r="Z45" s="95">
        <f t="shared" si="4"/>
        <v>0</v>
      </c>
    </row>
    <row r="46" spans="1:26" ht="15.75">
      <c r="A46" s="24" t="s">
        <v>167</v>
      </c>
      <c r="B46" s="9" t="s">
        <v>163</v>
      </c>
      <c r="C46" s="10">
        <v>1</v>
      </c>
      <c r="D46" s="10"/>
      <c r="E46" s="25"/>
      <c r="F46" s="25">
        <f t="shared" si="10"/>
        <v>0</v>
      </c>
      <c r="G46" s="11">
        <v>4950</v>
      </c>
      <c r="H46" s="104">
        <f t="shared" ref="H46:H56" si="13">+G46*18%</f>
        <v>891</v>
      </c>
      <c r="I46" s="104">
        <f t="shared" si="12"/>
        <v>5841</v>
      </c>
      <c r="J46" s="133">
        <v>1</v>
      </c>
      <c r="K46" s="104">
        <v>5841</v>
      </c>
      <c r="L46" s="61">
        <f t="shared" si="11"/>
        <v>5841</v>
      </c>
      <c r="M46" s="120" t="s">
        <v>167</v>
      </c>
      <c r="N46" s="9" t="s">
        <v>13</v>
      </c>
      <c r="O46" s="9" t="s">
        <v>202</v>
      </c>
      <c r="P46" s="136">
        <v>1</v>
      </c>
      <c r="Q46" s="10"/>
      <c r="R46" s="10"/>
      <c r="S46" s="10"/>
      <c r="T46" s="166">
        <v>4950</v>
      </c>
      <c r="U46" s="10"/>
      <c r="V46" s="166">
        <v>4950</v>
      </c>
      <c r="W46" s="164">
        <f t="shared" ref="W46:W55" si="14">V46*18%</f>
        <v>891</v>
      </c>
      <c r="X46" s="166">
        <f t="shared" ref="X46:X63" si="15">W46+V46</f>
        <v>5841</v>
      </c>
      <c r="Y46" s="166">
        <f t="shared" ref="Y46:Y63" si="16">X46*P46</f>
        <v>5841</v>
      </c>
      <c r="Z46" s="95">
        <f t="shared" si="4"/>
        <v>0</v>
      </c>
    </row>
    <row r="47" spans="1:26" ht="15.75">
      <c r="A47" s="24" t="s">
        <v>41</v>
      </c>
      <c r="B47" s="9" t="s">
        <v>13</v>
      </c>
      <c r="C47" s="10">
        <v>4</v>
      </c>
      <c r="D47" s="10"/>
      <c r="E47" s="25"/>
      <c r="F47" s="25">
        <f t="shared" si="10"/>
        <v>0</v>
      </c>
      <c r="G47" s="11">
        <v>175</v>
      </c>
      <c r="H47" s="104">
        <f t="shared" si="13"/>
        <v>31.5</v>
      </c>
      <c r="I47" s="104">
        <f t="shared" si="12"/>
        <v>206.5</v>
      </c>
      <c r="J47" s="133">
        <v>1</v>
      </c>
      <c r="K47" s="104">
        <v>206.5</v>
      </c>
      <c r="L47" s="61">
        <f t="shared" si="11"/>
        <v>206.5</v>
      </c>
      <c r="M47" s="120" t="s">
        <v>41</v>
      </c>
      <c r="N47" s="9" t="s">
        <v>13</v>
      </c>
      <c r="O47" s="9" t="s">
        <v>202</v>
      </c>
      <c r="P47" s="136">
        <v>1</v>
      </c>
      <c r="Q47" s="10"/>
      <c r="R47" s="10"/>
      <c r="S47" s="10"/>
      <c r="T47" s="166">
        <v>175</v>
      </c>
      <c r="U47" s="10"/>
      <c r="V47" s="166">
        <v>175</v>
      </c>
      <c r="W47" s="164">
        <f t="shared" si="14"/>
        <v>31.5</v>
      </c>
      <c r="X47" s="166">
        <f t="shared" si="15"/>
        <v>206.5</v>
      </c>
      <c r="Y47" s="166">
        <f t="shared" si="16"/>
        <v>206.5</v>
      </c>
      <c r="Z47" s="95">
        <f t="shared" si="4"/>
        <v>0</v>
      </c>
    </row>
    <row r="48" spans="1:26" ht="15.75">
      <c r="A48" s="24" t="s">
        <v>43</v>
      </c>
      <c r="B48" s="9" t="s">
        <v>14</v>
      </c>
      <c r="C48" s="10">
        <v>7</v>
      </c>
      <c r="D48" s="10"/>
      <c r="E48" s="25"/>
      <c r="F48" s="25">
        <f t="shared" si="10"/>
        <v>0</v>
      </c>
      <c r="G48" s="11">
        <v>425</v>
      </c>
      <c r="H48" s="104">
        <f t="shared" si="13"/>
        <v>76.5</v>
      </c>
      <c r="I48" s="104">
        <f t="shared" si="12"/>
        <v>501.5</v>
      </c>
      <c r="J48" s="133">
        <v>3</v>
      </c>
      <c r="K48" s="104">
        <v>501.5</v>
      </c>
      <c r="L48" s="61">
        <f t="shared" si="11"/>
        <v>1504.5</v>
      </c>
      <c r="M48" s="120" t="s">
        <v>43</v>
      </c>
      <c r="N48" s="9" t="s">
        <v>14</v>
      </c>
      <c r="O48" s="9" t="s">
        <v>202</v>
      </c>
      <c r="P48" s="136">
        <v>3</v>
      </c>
      <c r="Q48" s="10"/>
      <c r="R48" s="10"/>
      <c r="S48" s="10"/>
      <c r="T48" s="166">
        <v>425</v>
      </c>
      <c r="U48" s="10"/>
      <c r="V48" s="166">
        <v>425</v>
      </c>
      <c r="W48" s="164">
        <f t="shared" si="14"/>
        <v>76.5</v>
      </c>
      <c r="X48" s="166">
        <f t="shared" si="15"/>
        <v>501.5</v>
      </c>
      <c r="Y48" s="166">
        <f t="shared" si="16"/>
        <v>1504.5</v>
      </c>
      <c r="Z48" s="95">
        <f t="shared" si="4"/>
        <v>0</v>
      </c>
    </row>
    <row r="49" spans="1:26" ht="15.75">
      <c r="A49" s="24" t="s">
        <v>162</v>
      </c>
      <c r="B49" s="9" t="s">
        <v>163</v>
      </c>
      <c r="C49" s="10">
        <v>12</v>
      </c>
      <c r="D49" s="10"/>
      <c r="E49" s="25"/>
      <c r="F49" s="25">
        <f t="shared" si="10"/>
        <v>0</v>
      </c>
      <c r="G49" s="11">
        <v>110</v>
      </c>
      <c r="H49" s="104">
        <f t="shared" si="13"/>
        <v>19.8</v>
      </c>
      <c r="I49" s="104">
        <f t="shared" si="12"/>
        <v>129.80000000000001</v>
      </c>
      <c r="J49" s="133">
        <v>8</v>
      </c>
      <c r="K49" s="104">
        <v>129.80000000000001</v>
      </c>
      <c r="L49" s="61">
        <f t="shared" si="11"/>
        <v>1038.4000000000001</v>
      </c>
      <c r="M49" s="120" t="s">
        <v>162</v>
      </c>
      <c r="N49" s="9" t="s">
        <v>13</v>
      </c>
      <c r="O49" s="9" t="s">
        <v>202</v>
      </c>
      <c r="P49" s="136">
        <v>8</v>
      </c>
      <c r="Q49" s="10"/>
      <c r="R49" s="10">
        <v>2</v>
      </c>
      <c r="S49" s="10"/>
      <c r="T49" s="166">
        <v>110</v>
      </c>
      <c r="U49" s="10"/>
      <c r="V49" s="166">
        <v>110</v>
      </c>
      <c r="W49" s="164">
        <f t="shared" si="14"/>
        <v>19.8</v>
      </c>
      <c r="X49" s="166">
        <f t="shared" si="15"/>
        <v>129.80000000000001</v>
      </c>
      <c r="Y49" s="166">
        <f t="shared" si="16"/>
        <v>1038.4000000000001</v>
      </c>
      <c r="Z49" s="95">
        <f t="shared" si="4"/>
        <v>0</v>
      </c>
    </row>
    <row r="50" spans="1:26" ht="15.75">
      <c r="A50" s="24" t="s">
        <v>42</v>
      </c>
      <c r="B50" s="9" t="s">
        <v>9</v>
      </c>
      <c r="C50" s="10">
        <v>33</v>
      </c>
      <c r="D50" s="10"/>
      <c r="E50" s="25"/>
      <c r="F50" s="25">
        <f t="shared" si="10"/>
        <v>0</v>
      </c>
      <c r="G50" s="11">
        <v>110</v>
      </c>
      <c r="H50" s="104">
        <f t="shared" si="13"/>
        <v>19.8</v>
      </c>
      <c r="I50" s="104">
        <f t="shared" si="12"/>
        <v>129.80000000000001</v>
      </c>
      <c r="J50" s="133">
        <v>42</v>
      </c>
      <c r="K50" s="104">
        <v>129.80000000000001</v>
      </c>
      <c r="L50" s="61">
        <f t="shared" si="11"/>
        <v>5451.6</v>
      </c>
      <c r="M50" s="120" t="s">
        <v>42</v>
      </c>
      <c r="N50" s="9" t="s">
        <v>9</v>
      </c>
      <c r="O50" s="9" t="s">
        <v>202</v>
      </c>
      <c r="P50" s="136">
        <v>42</v>
      </c>
      <c r="Q50" s="10"/>
      <c r="R50" s="10">
        <v>4</v>
      </c>
      <c r="S50" s="10"/>
      <c r="T50" s="166">
        <v>110</v>
      </c>
      <c r="U50" s="10"/>
      <c r="V50" s="166">
        <v>110</v>
      </c>
      <c r="W50" s="164">
        <f t="shared" si="14"/>
        <v>19.8</v>
      </c>
      <c r="X50" s="166">
        <f t="shared" si="15"/>
        <v>129.80000000000001</v>
      </c>
      <c r="Y50" s="166">
        <f t="shared" si="16"/>
        <v>5451.6</v>
      </c>
      <c r="Z50" s="95">
        <f t="shared" si="4"/>
        <v>0</v>
      </c>
    </row>
    <row r="51" spans="1:26" ht="15.75">
      <c r="A51" s="24" t="s">
        <v>44</v>
      </c>
      <c r="B51" s="9" t="s">
        <v>29</v>
      </c>
      <c r="C51" s="10">
        <v>6</v>
      </c>
      <c r="D51" s="10"/>
      <c r="E51" s="25"/>
      <c r="F51" s="25">
        <f t="shared" si="10"/>
        <v>0</v>
      </c>
      <c r="G51" s="11">
        <v>65</v>
      </c>
      <c r="H51" s="104">
        <f t="shared" si="13"/>
        <v>11.7</v>
      </c>
      <c r="I51" s="104">
        <f t="shared" si="12"/>
        <v>76.7</v>
      </c>
      <c r="J51" s="133">
        <v>4</v>
      </c>
      <c r="K51" s="104">
        <v>76.7</v>
      </c>
      <c r="L51" s="61">
        <f t="shared" si="11"/>
        <v>306.8</v>
      </c>
      <c r="M51" s="120" t="s">
        <v>44</v>
      </c>
      <c r="N51" s="9" t="s">
        <v>29</v>
      </c>
      <c r="O51" s="9" t="s">
        <v>202</v>
      </c>
      <c r="P51" s="145">
        <v>4</v>
      </c>
      <c r="Q51" s="10"/>
      <c r="R51" s="10">
        <v>1</v>
      </c>
      <c r="S51" s="10"/>
      <c r="T51" s="166">
        <v>65</v>
      </c>
      <c r="U51" s="10"/>
      <c r="V51" s="166">
        <v>65</v>
      </c>
      <c r="W51" s="164">
        <f t="shared" si="14"/>
        <v>11.7</v>
      </c>
      <c r="X51" s="167">
        <f t="shared" si="15"/>
        <v>76.7</v>
      </c>
      <c r="Y51" s="167">
        <f t="shared" si="16"/>
        <v>306.8</v>
      </c>
      <c r="Z51" s="95">
        <f t="shared" si="4"/>
        <v>0</v>
      </c>
    </row>
    <row r="52" spans="1:26" ht="15.75">
      <c r="A52" s="24" t="s">
        <v>161</v>
      </c>
      <c r="B52" s="9" t="s">
        <v>13</v>
      </c>
      <c r="C52" s="10">
        <v>2</v>
      </c>
      <c r="D52" s="10"/>
      <c r="E52" s="25"/>
      <c r="F52" s="25">
        <f t="shared" si="10"/>
        <v>0</v>
      </c>
      <c r="G52" s="11">
        <v>1150</v>
      </c>
      <c r="H52" s="104">
        <f t="shared" si="13"/>
        <v>207</v>
      </c>
      <c r="I52" s="104">
        <f t="shared" si="12"/>
        <v>1357</v>
      </c>
      <c r="J52" s="133">
        <v>2</v>
      </c>
      <c r="K52" s="104">
        <v>1357</v>
      </c>
      <c r="L52" s="61">
        <f t="shared" si="11"/>
        <v>2714</v>
      </c>
      <c r="M52" s="123" t="s">
        <v>161</v>
      </c>
      <c r="N52" s="9" t="s">
        <v>13</v>
      </c>
      <c r="O52" s="9" t="s">
        <v>202</v>
      </c>
      <c r="P52" s="136">
        <v>2</v>
      </c>
      <c r="Q52" s="10"/>
      <c r="R52" s="10"/>
      <c r="S52" s="10"/>
      <c r="T52" s="166">
        <v>1150</v>
      </c>
      <c r="U52" s="10"/>
      <c r="V52" s="166">
        <v>1150</v>
      </c>
      <c r="W52" s="164">
        <f t="shared" si="14"/>
        <v>207</v>
      </c>
      <c r="X52" s="166">
        <f t="shared" si="15"/>
        <v>1357</v>
      </c>
      <c r="Y52" s="166">
        <f t="shared" si="16"/>
        <v>2714</v>
      </c>
      <c r="Z52" s="95">
        <f t="shared" si="4"/>
        <v>0</v>
      </c>
    </row>
    <row r="53" spans="1:26" ht="15.75">
      <c r="A53" s="24" t="s">
        <v>160</v>
      </c>
      <c r="B53" s="9" t="s">
        <v>13</v>
      </c>
      <c r="C53" s="10">
        <v>2</v>
      </c>
      <c r="D53" s="10"/>
      <c r="E53" s="25"/>
      <c r="F53" s="25">
        <f t="shared" si="10"/>
        <v>0</v>
      </c>
      <c r="G53" s="11">
        <v>3450</v>
      </c>
      <c r="H53" s="104">
        <f t="shared" si="13"/>
        <v>621</v>
      </c>
      <c r="I53" s="104">
        <f t="shared" si="12"/>
        <v>4071</v>
      </c>
      <c r="J53" s="133">
        <v>2</v>
      </c>
      <c r="K53" s="104">
        <v>4071</v>
      </c>
      <c r="L53" s="61">
        <f t="shared" si="11"/>
        <v>8142</v>
      </c>
      <c r="M53" s="134" t="s">
        <v>160</v>
      </c>
      <c r="N53" s="135" t="s">
        <v>13</v>
      </c>
      <c r="O53" s="135" t="s">
        <v>202</v>
      </c>
      <c r="P53" s="145">
        <v>2</v>
      </c>
      <c r="Q53" s="136"/>
      <c r="R53" s="136"/>
      <c r="S53" s="136"/>
      <c r="T53" s="168">
        <v>3450</v>
      </c>
      <c r="U53" s="136"/>
      <c r="V53" s="168">
        <v>3450</v>
      </c>
      <c r="W53" s="171">
        <f t="shared" si="14"/>
        <v>621</v>
      </c>
      <c r="X53" s="168">
        <f t="shared" si="15"/>
        <v>4071</v>
      </c>
      <c r="Y53" s="168">
        <f t="shared" si="16"/>
        <v>8142</v>
      </c>
      <c r="Z53" s="95">
        <f t="shared" si="4"/>
        <v>0</v>
      </c>
    </row>
    <row r="54" spans="1:26" ht="15.75">
      <c r="A54" s="24" t="s">
        <v>46</v>
      </c>
      <c r="B54" s="9" t="s">
        <v>13</v>
      </c>
      <c r="C54" s="10">
        <v>20</v>
      </c>
      <c r="D54" s="10">
        <v>20</v>
      </c>
      <c r="E54" s="25">
        <f>5900/20</f>
        <v>295</v>
      </c>
      <c r="F54" s="25">
        <f t="shared" si="10"/>
        <v>5900</v>
      </c>
      <c r="G54" s="21">
        <v>154.26</v>
      </c>
      <c r="H54" s="22">
        <f t="shared" si="13"/>
        <v>27.766799999999996</v>
      </c>
      <c r="I54" s="22">
        <f t="shared" si="12"/>
        <v>182.02679999999998</v>
      </c>
      <c r="J54" s="133">
        <v>40</v>
      </c>
      <c r="K54" s="22">
        <v>295</v>
      </c>
      <c r="L54" s="61">
        <f t="shared" si="11"/>
        <v>11800</v>
      </c>
      <c r="M54" s="120" t="s">
        <v>46</v>
      </c>
      <c r="N54" s="9" t="s">
        <v>13</v>
      </c>
      <c r="O54" s="9" t="s">
        <v>203</v>
      </c>
      <c r="P54" s="136">
        <v>40</v>
      </c>
      <c r="Q54" s="10">
        <v>20</v>
      </c>
      <c r="R54" s="10"/>
      <c r="S54" s="10"/>
      <c r="T54" s="166">
        <v>154.26</v>
      </c>
      <c r="U54" s="25">
        <v>250</v>
      </c>
      <c r="V54" s="166">
        <v>250</v>
      </c>
      <c r="W54" s="164">
        <f t="shared" si="14"/>
        <v>45</v>
      </c>
      <c r="X54" s="166">
        <f t="shared" si="15"/>
        <v>295</v>
      </c>
      <c r="Y54" s="166">
        <f t="shared" si="16"/>
        <v>11800</v>
      </c>
      <c r="Z54" s="95">
        <f t="shared" si="4"/>
        <v>0</v>
      </c>
    </row>
    <row r="55" spans="1:26" ht="15.75">
      <c r="A55" s="24" t="s">
        <v>47</v>
      </c>
      <c r="B55" s="9" t="s">
        <v>13</v>
      </c>
      <c r="C55" s="10">
        <v>23</v>
      </c>
      <c r="D55" s="10"/>
      <c r="E55" s="25"/>
      <c r="F55" s="25">
        <f t="shared" si="10"/>
        <v>0</v>
      </c>
      <c r="G55" s="11">
        <v>125</v>
      </c>
      <c r="H55" s="104">
        <f t="shared" si="13"/>
        <v>22.5</v>
      </c>
      <c r="I55" s="104">
        <f t="shared" si="12"/>
        <v>147.5</v>
      </c>
      <c r="J55" s="133">
        <v>24</v>
      </c>
      <c r="K55" s="104">
        <v>147.5</v>
      </c>
      <c r="L55" s="61">
        <f t="shared" si="11"/>
        <v>3540</v>
      </c>
      <c r="M55" s="120" t="s">
        <v>47</v>
      </c>
      <c r="N55" s="9" t="s">
        <v>13</v>
      </c>
      <c r="O55" s="9" t="s">
        <v>202</v>
      </c>
      <c r="P55" s="145">
        <v>24</v>
      </c>
      <c r="Q55" s="10"/>
      <c r="R55" s="10"/>
      <c r="S55" s="10"/>
      <c r="T55" s="166">
        <v>125</v>
      </c>
      <c r="U55" s="10"/>
      <c r="V55" s="166">
        <v>125</v>
      </c>
      <c r="W55" s="164">
        <f t="shared" si="14"/>
        <v>22.5</v>
      </c>
      <c r="X55" s="166">
        <f t="shared" si="15"/>
        <v>147.5</v>
      </c>
      <c r="Y55" s="166">
        <f t="shared" si="16"/>
        <v>3540</v>
      </c>
      <c r="Z55" s="95">
        <f t="shared" si="4"/>
        <v>0</v>
      </c>
    </row>
    <row r="56" spans="1:26" ht="15.75">
      <c r="A56" s="24" t="s">
        <v>48</v>
      </c>
      <c r="B56" s="9" t="s">
        <v>31</v>
      </c>
      <c r="C56" s="10">
        <v>3</v>
      </c>
      <c r="D56" s="10">
        <v>4</v>
      </c>
      <c r="E56" s="25">
        <f>2640/D56</f>
        <v>660</v>
      </c>
      <c r="F56" s="25">
        <f t="shared" si="10"/>
        <v>2640</v>
      </c>
      <c r="G56" s="21">
        <v>26.44</v>
      </c>
      <c r="H56" s="22">
        <f t="shared" si="13"/>
        <v>4.7591999999999999</v>
      </c>
      <c r="I56" s="22">
        <f t="shared" si="12"/>
        <v>31.199200000000001</v>
      </c>
      <c r="J56" s="133">
        <v>56</v>
      </c>
      <c r="K56" s="22">
        <v>55</v>
      </c>
      <c r="L56" s="61">
        <f t="shared" si="11"/>
        <v>3080</v>
      </c>
      <c r="M56" s="137" t="s">
        <v>210</v>
      </c>
      <c r="N56" s="135" t="s">
        <v>13</v>
      </c>
      <c r="O56" s="135" t="s">
        <v>203</v>
      </c>
      <c r="P56" s="145">
        <v>56</v>
      </c>
      <c r="Q56" s="136">
        <v>48</v>
      </c>
      <c r="R56" s="136">
        <v>24</v>
      </c>
      <c r="S56" s="136"/>
      <c r="T56" s="168">
        <v>26.44</v>
      </c>
      <c r="U56" s="131">
        <v>660</v>
      </c>
      <c r="V56" s="168">
        <v>55</v>
      </c>
      <c r="W56" s="171">
        <v>0</v>
      </c>
      <c r="X56" s="172">
        <f t="shared" si="15"/>
        <v>55</v>
      </c>
      <c r="Y56" s="172">
        <f t="shared" si="16"/>
        <v>3080</v>
      </c>
      <c r="Z56" s="95">
        <f t="shared" si="4"/>
        <v>0</v>
      </c>
    </row>
    <row r="57" spans="1:26" ht="15.75">
      <c r="A57" s="64" t="s">
        <v>50</v>
      </c>
      <c r="B57" s="14" t="s">
        <v>29</v>
      </c>
      <c r="C57" s="15">
        <v>6</v>
      </c>
      <c r="D57" s="15"/>
      <c r="E57" s="112"/>
      <c r="F57" s="25">
        <f t="shared" si="10"/>
        <v>0</v>
      </c>
      <c r="G57" s="16">
        <v>220</v>
      </c>
      <c r="H57" s="61">
        <f>G57*18%</f>
        <v>39.6</v>
      </c>
      <c r="I57" s="61">
        <f t="shared" si="12"/>
        <v>259.60000000000002</v>
      </c>
      <c r="J57" s="133">
        <v>6</v>
      </c>
      <c r="K57" s="61">
        <v>259.60000000000002</v>
      </c>
      <c r="L57" s="61">
        <f t="shared" si="11"/>
        <v>1557.6000000000001</v>
      </c>
      <c r="M57" s="142" t="s">
        <v>50</v>
      </c>
      <c r="N57" s="14" t="s">
        <v>29</v>
      </c>
      <c r="O57" s="14" t="s">
        <v>202</v>
      </c>
      <c r="P57" s="145">
        <v>6</v>
      </c>
      <c r="Q57" s="15"/>
      <c r="R57" s="15"/>
      <c r="S57" s="15"/>
      <c r="T57" s="164">
        <v>220</v>
      </c>
      <c r="U57" s="15"/>
      <c r="V57" s="164">
        <v>220</v>
      </c>
      <c r="W57" s="164">
        <f t="shared" ref="W57:W63" si="17">V57*18%</f>
        <v>39.6</v>
      </c>
      <c r="X57" s="164">
        <f t="shared" si="15"/>
        <v>259.60000000000002</v>
      </c>
      <c r="Y57" s="164">
        <f t="shared" si="16"/>
        <v>1557.6000000000001</v>
      </c>
      <c r="Z57" s="95">
        <f t="shared" si="4"/>
        <v>0</v>
      </c>
    </row>
    <row r="58" spans="1:26" ht="15.75">
      <c r="A58" s="64" t="s">
        <v>51</v>
      </c>
      <c r="B58" s="14" t="s">
        <v>29</v>
      </c>
      <c r="C58" s="15">
        <v>6</v>
      </c>
      <c r="D58" s="15"/>
      <c r="E58" s="112"/>
      <c r="F58" s="25">
        <f t="shared" si="10"/>
        <v>0</v>
      </c>
      <c r="G58" s="16">
        <v>220</v>
      </c>
      <c r="H58" s="61">
        <f>G58*18%</f>
        <v>39.6</v>
      </c>
      <c r="I58" s="61">
        <f t="shared" si="12"/>
        <v>259.60000000000002</v>
      </c>
      <c r="J58" s="133">
        <v>6</v>
      </c>
      <c r="K58" s="61">
        <v>259.60000000000002</v>
      </c>
      <c r="L58" s="61">
        <f t="shared" si="11"/>
        <v>1557.6000000000001</v>
      </c>
      <c r="M58" s="142" t="s">
        <v>51</v>
      </c>
      <c r="N58" s="14" t="s">
        <v>29</v>
      </c>
      <c r="O58" s="14" t="s">
        <v>202</v>
      </c>
      <c r="P58" s="145">
        <v>6</v>
      </c>
      <c r="Q58" s="15"/>
      <c r="R58" s="15"/>
      <c r="S58" s="15"/>
      <c r="T58" s="164">
        <v>220</v>
      </c>
      <c r="U58" s="15"/>
      <c r="V58" s="164">
        <v>220</v>
      </c>
      <c r="W58" s="164">
        <f t="shared" si="17"/>
        <v>39.6</v>
      </c>
      <c r="X58" s="164">
        <f t="shared" si="15"/>
        <v>259.60000000000002</v>
      </c>
      <c r="Y58" s="164">
        <f t="shared" si="16"/>
        <v>1557.6000000000001</v>
      </c>
      <c r="Z58" s="95">
        <f t="shared" si="4"/>
        <v>0</v>
      </c>
    </row>
    <row r="59" spans="1:26" ht="15.75">
      <c r="A59" s="24" t="s">
        <v>52</v>
      </c>
      <c r="B59" s="9" t="s">
        <v>31</v>
      </c>
      <c r="C59" s="10">
        <v>9</v>
      </c>
      <c r="D59" s="10">
        <v>1500</v>
      </c>
      <c r="E59" s="25">
        <f>4425/1500</f>
        <v>2.95</v>
      </c>
      <c r="F59" s="25">
        <f t="shared" si="10"/>
        <v>4425</v>
      </c>
      <c r="G59" s="21">
        <v>367.28</v>
      </c>
      <c r="H59" s="22">
        <f t="shared" ref="H59:H70" si="18">+G59*18%</f>
        <v>66.110399999999998</v>
      </c>
      <c r="I59" s="22">
        <f t="shared" si="12"/>
        <v>433.3904</v>
      </c>
      <c r="J59" s="133">
        <v>1800</v>
      </c>
      <c r="K59" s="22">
        <v>2.95</v>
      </c>
      <c r="L59" s="61">
        <f t="shared" si="11"/>
        <v>5310</v>
      </c>
      <c r="M59" s="120" t="s">
        <v>52</v>
      </c>
      <c r="N59" s="9" t="s">
        <v>13</v>
      </c>
      <c r="O59" s="9" t="s">
        <v>203</v>
      </c>
      <c r="P59" s="145">
        <v>1800</v>
      </c>
      <c r="Q59" s="10">
        <v>1500</v>
      </c>
      <c r="R59" s="10">
        <v>502</v>
      </c>
      <c r="S59" s="10"/>
      <c r="T59" s="166">
        <v>367.28</v>
      </c>
      <c r="U59" s="25">
        <v>2.5</v>
      </c>
      <c r="V59" s="166">
        <v>3.67</v>
      </c>
      <c r="W59" s="164">
        <f t="shared" si="17"/>
        <v>0.66059999999999997</v>
      </c>
      <c r="X59" s="167">
        <f t="shared" si="15"/>
        <v>4.3305999999999996</v>
      </c>
      <c r="Y59" s="167">
        <f t="shared" si="16"/>
        <v>7795.079999999999</v>
      </c>
      <c r="Z59" s="95">
        <f t="shared" si="4"/>
        <v>-1.3805999999999994</v>
      </c>
    </row>
    <row r="60" spans="1:26" ht="15.75">
      <c r="A60" s="24" t="s">
        <v>53</v>
      </c>
      <c r="B60" s="9" t="s">
        <v>31</v>
      </c>
      <c r="C60" s="10">
        <v>11</v>
      </c>
      <c r="D60" s="10"/>
      <c r="E60" s="25">
        <v>5.9</v>
      </c>
      <c r="F60" s="25">
        <f t="shared" si="10"/>
        <v>0</v>
      </c>
      <c r="G60" s="21">
        <v>500</v>
      </c>
      <c r="H60" s="22">
        <f t="shared" si="18"/>
        <v>90</v>
      </c>
      <c r="I60" s="22">
        <f t="shared" si="12"/>
        <v>590</v>
      </c>
      <c r="J60" s="133">
        <v>1100</v>
      </c>
      <c r="K60" s="22">
        <v>5.9</v>
      </c>
      <c r="L60" s="61">
        <f t="shared" si="11"/>
        <v>6490</v>
      </c>
      <c r="M60" s="120" t="s">
        <v>53</v>
      </c>
      <c r="N60" s="9" t="s">
        <v>13</v>
      </c>
      <c r="O60" s="9" t="s">
        <v>203</v>
      </c>
      <c r="P60" s="145">
        <v>1100</v>
      </c>
      <c r="Q60" s="10"/>
      <c r="R60" s="10">
        <v>100</v>
      </c>
      <c r="S60" s="10"/>
      <c r="T60" s="166">
        <v>500</v>
      </c>
      <c r="U60" s="25"/>
      <c r="V60" s="166">
        <v>5</v>
      </c>
      <c r="W60" s="164">
        <f t="shared" si="17"/>
        <v>0.89999999999999991</v>
      </c>
      <c r="X60" s="167">
        <f t="shared" si="15"/>
        <v>5.9</v>
      </c>
      <c r="Y60" s="167">
        <f t="shared" si="16"/>
        <v>6490</v>
      </c>
      <c r="Z60" s="95">
        <f t="shared" si="4"/>
        <v>0</v>
      </c>
    </row>
    <row r="61" spans="1:26" ht="15.75">
      <c r="A61" s="24" t="s">
        <v>158</v>
      </c>
      <c r="B61" s="9" t="s">
        <v>29</v>
      </c>
      <c r="C61" s="10">
        <v>5</v>
      </c>
      <c r="D61" s="10"/>
      <c r="E61" s="25"/>
      <c r="F61" s="25">
        <f t="shared" si="10"/>
        <v>0</v>
      </c>
      <c r="G61" s="11">
        <v>95</v>
      </c>
      <c r="H61" s="104">
        <f t="shared" si="18"/>
        <v>17.099999999999998</v>
      </c>
      <c r="I61" s="104">
        <f t="shared" si="12"/>
        <v>112.1</v>
      </c>
      <c r="J61" s="133">
        <v>1</v>
      </c>
      <c r="K61" s="104">
        <v>112.1</v>
      </c>
      <c r="L61" s="61">
        <f t="shared" si="11"/>
        <v>112.1</v>
      </c>
      <c r="M61" s="120" t="s">
        <v>214</v>
      </c>
      <c r="N61" s="9" t="s">
        <v>29</v>
      </c>
      <c r="O61" s="9" t="s">
        <v>202</v>
      </c>
      <c r="P61" s="145">
        <v>1</v>
      </c>
      <c r="Q61" s="10"/>
      <c r="R61" s="10"/>
      <c r="S61" s="10"/>
      <c r="T61" s="166">
        <v>95</v>
      </c>
      <c r="U61" s="10"/>
      <c r="V61" s="166">
        <v>95</v>
      </c>
      <c r="W61" s="164">
        <f t="shared" si="17"/>
        <v>17.099999999999998</v>
      </c>
      <c r="X61" s="167">
        <f t="shared" si="15"/>
        <v>112.1</v>
      </c>
      <c r="Y61" s="167">
        <f t="shared" si="16"/>
        <v>112.1</v>
      </c>
      <c r="Z61" s="95">
        <f t="shared" si="4"/>
        <v>0</v>
      </c>
    </row>
    <row r="62" spans="1:26" ht="15.75">
      <c r="A62" s="24" t="s">
        <v>55</v>
      </c>
      <c r="B62" s="9" t="s">
        <v>29</v>
      </c>
      <c r="C62" s="10">
        <v>88</v>
      </c>
      <c r="D62" s="10"/>
      <c r="E62" s="25"/>
      <c r="F62" s="25">
        <f t="shared" si="10"/>
        <v>0</v>
      </c>
      <c r="G62" s="11">
        <v>425</v>
      </c>
      <c r="H62" s="104">
        <f t="shared" si="18"/>
        <v>76.5</v>
      </c>
      <c r="I62" s="104">
        <f t="shared" si="12"/>
        <v>501.5</v>
      </c>
      <c r="J62" s="133">
        <v>80</v>
      </c>
      <c r="K62" s="104">
        <v>501.5</v>
      </c>
      <c r="L62" s="61">
        <f t="shared" si="11"/>
        <v>40120</v>
      </c>
      <c r="M62" s="120" t="s">
        <v>212</v>
      </c>
      <c r="N62" s="9" t="s">
        <v>29</v>
      </c>
      <c r="O62" s="9" t="s">
        <v>202</v>
      </c>
      <c r="P62" s="145">
        <v>80</v>
      </c>
      <c r="Q62" s="10"/>
      <c r="R62" s="10">
        <v>2</v>
      </c>
      <c r="S62" s="10"/>
      <c r="T62" s="166">
        <v>425</v>
      </c>
      <c r="U62" s="10"/>
      <c r="V62" s="166">
        <v>425</v>
      </c>
      <c r="W62" s="164">
        <f t="shared" si="17"/>
        <v>76.5</v>
      </c>
      <c r="X62" s="166">
        <f t="shared" si="15"/>
        <v>501.5</v>
      </c>
      <c r="Y62" s="166">
        <f t="shared" si="16"/>
        <v>40120</v>
      </c>
      <c r="Z62" s="95">
        <f t="shared" si="4"/>
        <v>0</v>
      </c>
    </row>
    <row r="63" spans="1:26" ht="15.75">
      <c r="A63" s="24" t="s">
        <v>156</v>
      </c>
      <c r="B63" s="9" t="s">
        <v>29</v>
      </c>
      <c r="C63" s="10">
        <v>1</v>
      </c>
      <c r="D63" s="10"/>
      <c r="E63" s="25"/>
      <c r="F63" s="25">
        <f t="shared" si="10"/>
        <v>0</v>
      </c>
      <c r="G63" s="11">
        <v>700</v>
      </c>
      <c r="H63" s="104">
        <f t="shared" si="18"/>
        <v>126</v>
      </c>
      <c r="I63" s="104">
        <f t="shared" si="12"/>
        <v>826</v>
      </c>
      <c r="J63" s="133">
        <v>1</v>
      </c>
      <c r="K63" s="104">
        <v>826</v>
      </c>
      <c r="L63" s="61">
        <f t="shared" si="11"/>
        <v>826</v>
      </c>
      <c r="M63" s="120" t="s">
        <v>213</v>
      </c>
      <c r="N63" s="9" t="s">
        <v>29</v>
      </c>
      <c r="O63" s="9" t="s">
        <v>202</v>
      </c>
      <c r="P63" s="145">
        <v>1</v>
      </c>
      <c r="Q63" s="10"/>
      <c r="R63" s="10"/>
      <c r="S63" s="10"/>
      <c r="T63" s="166">
        <v>700</v>
      </c>
      <c r="U63" s="10"/>
      <c r="V63" s="166">
        <v>700</v>
      </c>
      <c r="W63" s="164">
        <f t="shared" si="17"/>
        <v>126</v>
      </c>
      <c r="X63" s="166">
        <f t="shared" si="15"/>
        <v>826</v>
      </c>
      <c r="Y63" s="166">
        <f t="shared" si="16"/>
        <v>826</v>
      </c>
      <c r="Z63" s="95">
        <f t="shared" si="4"/>
        <v>0</v>
      </c>
    </row>
    <row r="64" spans="1:26" ht="15.75">
      <c r="A64" s="24" t="s">
        <v>56</v>
      </c>
      <c r="B64" s="9" t="s">
        <v>29</v>
      </c>
      <c r="C64" s="10">
        <v>3</v>
      </c>
      <c r="D64" s="10"/>
      <c r="E64" s="25"/>
      <c r="F64" s="25">
        <f t="shared" si="10"/>
        <v>0</v>
      </c>
      <c r="G64" s="11">
        <v>16.41</v>
      </c>
      <c r="H64" s="104">
        <f t="shared" si="18"/>
        <v>2.9537999999999998</v>
      </c>
      <c r="I64" s="104">
        <f t="shared" si="12"/>
        <v>19.363800000000001</v>
      </c>
      <c r="J64" s="102">
        <v>0</v>
      </c>
      <c r="K64" s="104"/>
      <c r="L64" s="61">
        <f t="shared" si="11"/>
        <v>0</v>
      </c>
      <c r="M64" s="120"/>
      <c r="N64" s="9"/>
      <c r="O64" s="9"/>
      <c r="P64" s="145"/>
      <c r="Q64" s="10"/>
      <c r="R64" s="10"/>
      <c r="S64" s="10"/>
      <c r="T64" s="166"/>
      <c r="U64" s="10"/>
      <c r="V64" s="166"/>
      <c r="W64" s="164"/>
      <c r="X64" s="166"/>
      <c r="Y64" s="166"/>
      <c r="Z64" s="95">
        <f t="shared" si="4"/>
        <v>0</v>
      </c>
    </row>
    <row r="65" spans="1:26" ht="15.75">
      <c r="A65" s="56" t="s">
        <v>54</v>
      </c>
      <c r="B65" s="9" t="s">
        <v>29</v>
      </c>
      <c r="C65" s="27">
        <v>13</v>
      </c>
      <c r="D65" s="27"/>
      <c r="E65" s="113"/>
      <c r="F65" s="25">
        <f t="shared" si="10"/>
        <v>0</v>
      </c>
      <c r="G65" s="21">
        <v>230</v>
      </c>
      <c r="H65" s="22">
        <f t="shared" si="18"/>
        <v>41.4</v>
      </c>
      <c r="I65" s="22">
        <f t="shared" si="12"/>
        <v>271.39999999999998</v>
      </c>
      <c r="J65" s="133">
        <v>16</v>
      </c>
      <c r="K65" s="22">
        <v>271.39999999999998</v>
      </c>
      <c r="L65" s="61">
        <f t="shared" si="11"/>
        <v>4342.3999999999996</v>
      </c>
      <c r="M65" s="146" t="s">
        <v>211</v>
      </c>
      <c r="N65" s="9" t="s">
        <v>29</v>
      </c>
      <c r="O65" s="9" t="s">
        <v>203</v>
      </c>
      <c r="P65" s="147">
        <v>16</v>
      </c>
      <c r="Q65" s="27"/>
      <c r="R65" s="27"/>
      <c r="S65" s="27"/>
      <c r="T65" s="166">
        <v>230</v>
      </c>
      <c r="U65" s="113"/>
      <c r="V65" s="166">
        <v>230</v>
      </c>
      <c r="W65" s="164">
        <f t="shared" ref="W65:W72" si="19">V65*18%</f>
        <v>41.4</v>
      </c>
      <c r="X65" s="166">
        <f t="shared" ref="X65:X72" si="20">W65+V65</f>
        <v>271.39999999999998</v>
      </c>
      <c r="Y65" s="166">
        <f t="shared" ref="Y65:Y72" si="21">X65*P65</f>
        <v>4342.3999999999996</v>
      </c>
      <c r="Z65" s="95">
        <f t="shared" si="4"/>
        <v>0</v>
      </c>
    </row>
    <row r="66" spans="1:26" ht="15.75">
      <c r="A66" s="24" t="s">
        <v>57</v>
      </c>
      <c r="B66" s="9" t="s">
        <v>31</v>
      </c>
      <c r="C66" s="10">
        <v>2</v>
      </c>
      <c r="D66" s="10"/>
      <c r="E66" s="25"/>
      <c r="F66" s="25">
        <f t="shared" si="10"/>
        <v>0</v>
      </c>
      <c r="G66" s="21">
        <v>120</v>
      </c>
      <c r="H66" s="22">
        <f t="shared" si="18"/>
        <v>21.599999999999998</v>
      </c>
      <c r="I66" s="22">
        <f t="shared" si="12"/>
        <v>141.6</v>
      </c>
      <c r="J66" s="133">
        <v>2</v>
      </c>
      <c r="K66" s="22">
        <v>141.6</v>
      </c>
      <c r="L66" s="61">
        <f t="shared" si="11"/>
        <v>283.2</v>
      </c>
      <c r="M66" s="120" t="s">
        <v>57</v>
      </c>
      <c r="N66" s="9" t="s">
        <v>31</v>
      </c>
      <c r="O66" s="9" t="s">
        <v>203</v>
      </c>
      <c r="P66" s="145">
        <v>2</v>
      </c>
      <c r="Q66" s="10"/>
      <c r="R66" s="10"/>
      <c r="S66" s="10"/>
      <c r="T66" s="166">
        <v>120</v>
      </c>
      <c r="U66" s="25"/>
      <c r="V66" s="166">
        <v>120</v>
      </c>
      <c r="W66" s="164">
        <f t="shared" si="19"/>
        <v>21.599999999999998</v>
      </c>
      <c r="X66" s="167">
        <f t="shared" si="20"/>
        <v>141.6</v>
      </c>
      <c r="Y66" s="167">
        <f t="shared" si="21"/>
        <v>283.2</v>
      </c>
      <c r="Z66" s="95">
        <f t="shared" si="4"/>
        <v>0</v>
      </c>
    </row>
    <row r="67" spans="1:26" ht="15.75">
      <c r="A67" s="24" t="s">
        <v>59</v>
      </c>
      <c r="B67" s="9" t="s">
        <v>9</v>
      </c>
      <c r="C67" s="10">
        <v>28</v>
      </c>
      <c r="D67" s="10"/>
      <c r="E67" s="25"/>
      <c r="F67" s="25">
        <f t="shared" si="10"/>
        <v>0</v>
      </c>
      <c r="G67" s="11">
        <v>700</v>
      </c>
      <c r="H67" s="104">
        <f t="shared" si="18"/>
        <v>126</v>
      </c>
      <c r="I67" s="104">
        <f t="shared" si="12"/>
        <v>826</v>
      </c>
      <c r="J67" s="133">
        <v>24</v>
      </c>
      <c r="K67" s="104">
        <v>826</v>
      </c>
      <c r="L67" s="61">
        <f t="shared" si="11"/>
        <v>19824</v>
      </c>
      <c r="M67" s="120" t="s">
        <v>59</v>
      </c>
      <c r="N67" s="9" t="s">
        <v>9</v>
      </c>
      <c r="O67" s="9" t="s">
        <v>202</v>
      </c>
      <c r="P67" s="145">
        <v>24</v>
      </c>
      <c r="Q67" s="10"/>
      <c r="R67" s="10"/>
      <c r="S67" s="10"/>
      <c r="T67" s="166">
        <v>700</v>
      </c>
      <c r="U67" s="10"/>
      <c r="V67" s="166">
        <v>700</v>
      </c>
      <c r="W67" s="164">
        <f t="shared" si="19"/>
        <v>126</v>
      </c>
      <c r="X67" s="166">
        <f t="shared" si="20"/>
        <v>826</v>
      </c>
      <c r="Y67" s="166">
        <f t="shared" si="21"/>
        <v>19824</v>
      </c>
      <c r="Z67" s="95">
        <f t="shared" si="4"/>
        <v>0</v>
      </c>
    </row>
    <row r="68" spans="1:26" ht="15.75">
      <c r="A68" s="24" t="s">
        <v>60</v>
      </c>
      <c r="B68" s="9" t="s">
        <v>31</v>
      </c>
      <c r="C68" s="10">
        <v>32</v>
      </c>
      <c r="D68" s="10">
        <v>25</v>
      </c>
      <c r="E68" s="25">
        <f>1563.5/D68</f>
        <v>62.54</v>
      </c>
      <c r="F68" s="25">
        <f t="shared" si="10"/>
        <v>1563.5</v>
      </c>
      <c r="G68" s="21">
        <v>54.36</v>
      </c>
      <c r="H68" s="22">
        <f t="shared" si="18"/>
        <v>9.7847999999999988</v>
      </c>
      <c r="I68" s="22">
        <f t="shared" si="12"/>
        <v>64.144800000000004</v>
      </c>
      <c r="J68" s="133">
        <v>50</v>
      </c>
      <c r="K68" s="22">
        <v>62.54</v>
      </c>
      <c r="L68" s="61">
        <f t="shared" si="11"/>
        <v>3127</v>
      </c>
      <c r="M68" s="120" t="s">
        <v>60</v>
      </c>
      <c r="N68" s="9" t="s">
        <v>31</v>
      </c>
      <c r="O68" s="9" t="s">
        <v>203</v>
      </c>
      <c r="P68" s="145">
        <v>50</v>
      </c>
      <c r="Q68" s="10">
        <v>25</v>
      </c>
      <c r="R68" s="10">
        <v>4</v>
      </c>
      <c r="S68" s="10"/>
      <c r="T68" s="166">
        <v>54.36</v>
      </c>
      <c r="U68" s="25">
        <v>53</v>
      </c>
      <c r="V68" s="166">
        <v>53</v>
      </c>
      <c r="W68" s="164">
        <f t="shared" si="19"/>
        <v>9.5399999999999991</v>
      </c>
      <c r="X68" s="167">
        <f t="shared" si="20"/>
        <v>62.54</v>
      </c>
      <c r="Y68" s="167">
        <f t="shared" si="21"/>
        <v>3127</v>
      </c>
      <c r="Z68" s="95">
        <f t="shared" si="4"/>
        <v>0</v>
      </c>
    </row>
    <row r="69" spans="1:26" ht="15.75">
      <c r="A69" s="24" t="s">
        <v>159</v>
      </c>
      <c r="B69" s="9" t="s">
        <v>31</v>
      </c>
      <c r="C69" s="10">
        <v>2</v>
      </c>
      <c r="D69" s="10"/>
      <c r="E69" s="25"/>
      <c r="F69" s="25">
        <f t="shared" si="10"/>
        <v>0</v>
      </c>
      <c r="G69" s="11">
        <v>375</v>
      </c>
      <c r="H69" s="104">
        <f t="shared" si="18"/>
        <v>67.5</v>
      </c>
      <c r="I69" s="104">
        <f t="shared" si="12"/>
        <v>442.5</v>
      </c>
      <c r="J69" s="133">
        <v>2</v>
      </c>
      <c r="K69" s="104">
        <v>442.5</v>
      </c>
      <c r="L69" s="61">
        <f t="shared" si="11"/>
        <v>885</v>
      </c>
      <c r="M69" s="120" t="s">
        <v>215</v>
      </c>
      <c r="N69" s="9" t="s">
        <v>31</v>
      </c>
      <c r="O69" s="9" t="s">
        <v>202</v>
      </c>
      <c r="P69" s="145">
        <v>2</v>
      </c>
      <c r="Q69" s="10"/>
      <c r="R69" s="10"/>
      <c r="S69" s="10"/>
      <c r="T69" s="166">
        <v>375</v>
      </c>
      <c r="U69" s="10"/>
      <c r="V69" s="166">
        <v>375</v>
      </c>
      <c r="W69" s="164">
        <f t="shared" si="19"/>
        <v>67.5</v>
      </c>
      <c r="X69" s="166">
        <f t="shared" si="20"/>
        <v>442.5</v>
      </c>
      <c r="Y69" s="166">
        <f t="shared" si="21"/>
        <v>885</v>
      </c>
      <c r="Z69" s="95">
        <f t="shared" si="4"/>
        <v>0</v>
      </c>
    </row>
    <row r="70" spans="1:26" ht="15.75">
      <c r="A70" s="24" t="s">
        <v>61</v>
      </c>
      <c r="B70" s="9" t="s">
        <v>13</v>
      </c>
      <c r="C70" s="10">
        <v>15</v>
      </c>
      <c r="D70" s="10">
        <v>15</v>
      </c>
      <c r="E70" s="25">
        <f>7965/D70</f>
        <v>531</v>
      </c>
      <c r="F70" s="25">
        <f t="shared" si="10"/>
        <v>7965</v>
      </c>
      <c r="G70" s="21">
        <v>330.55</v>
      </c>
      <c r="H70" s="22">
        <f t="shared" si="18"/>
        <v>59.499000000000002</v>
      </c>
      <c r="I70" s="22">
        <f t="shared" si="12"/>
        <v>390.04900000000004</v>
      </c>
      <c r="J70" s="133">
        <v>22</v>
      </c>
      <c r="K70" s="22">
        <v>531</v>
      </c>
      <c r="L70" s="61">
        <f t="shared" si="11"/>
        <v>11682</v>
      </c>
      <c r="M70" s="120" t="s">
        <v>61</v>
      </c>
      <c r="N70" s="9" t="s">
        <v>13</v>
      </c>
      <c r="O70" s="9" t="s">
        <v>203</v>
      </c>
      <c r="P70" s="145">
        <v>22</v>
      </c>
      <c r="Q70" s="10">
        <v>15</v>
      </c>
      <c r="R70" s="10">
        <v>3</v>
      </c>
      <c r="S70" s="10"/>
      <c r="T70" s="166">
        <v>330.55</v>
      </c>
      <c r="U70" s="25">
        <v>450</v>
      </c>
      <c r="V70" s="166">
        <v>450</v>
      </c>
      <c r="W70" s="164">
        <f t="shared" si="19"/>
        <v>81</v>
      </c>
      <c r="X70" s="167">
        <f t="shared" si="20"/>
        <v>531</v>
      </c>
      <c r="Y70" s="167">
        <f t="shared" si="21"/>
        <v>11682</v>
      </c>
      <c r="Z70" s="95">
        <f t="shared" si="4"/>
        <v>0</v>
      </c>
    </row>
    <row r="71" spans="1:26" ht="15.75">
      <c r="A71" s="120" t="s">
        <v>195</v>
      </c>
      <c r="B71" s="9"/>
      <c r="C71" s="10"/>
      <c r="D71" s="10"/>
      <c r="E71" s="25"/>
      <c r="F71" s="25"/>
      <c r="G71" s="21"/>
      <c r="H71" s="22"/>
      <c r="I71" s="22"/>
      <c r="J71" s="133">
        <v>2</v>
      </c>
      <c r="K71" s="22">
        <v>76.7</v>
      </c>
      <c r="L71" s="61">
        <f t="shared" ref="L71:L102" si="22">J71*K71</f>
        <v>153.4</v>
      </c>
      <c r="M71" s="120" t="s">
        <v>195</v>
      </c>
      <c r="N71" s="9" t="s">
        <v>31</v>
      </c>
      <c r="O71" s="9" t="s">
        <v>203</v>
      </c>
      <c r="P71" s="145">
        <v>2</v>
      </c>
      <c r="Q71" s="10"/>
      <c r="R71" s="10"/>
      <c r="S71" s="10"/>
      <c r="T71" s="166">
        <v>65</v>
      </c>
      <c r="U71" s="25"/>
      <c r="V71" s="166">
        <v>65</v>
      </c>
      <c r="W71" s="164">
        <f t="shared" si="19"/>
        <v>11.7</v>
      </c>
      <c r="X71" s="167">
        <f t="shared" si="20"/>
        <v>76.7</v>
      </c>
      <c r="Y71" s="167">
        <f t="shared" si="21"/>
        <v>153.4</v>
      </c>
      <c r="Z71" s="95">
        <f t="shared" si="4"/>
        <v>0</v>
      </c>
    </row>
    <row r="72" spans="1:26" ht="15.75">
      <c r="A72" s="24" t="s">
        <v>64</v>
      </c>
      <c r="B72" s="9" t="s">
        <v>31</v>
      </c>
      <c r="C72" s="10">
        <v>10</v>
      </c>
      <c r="D72" s="10"/>
      <c r="E72" s="25"/>
      <c r="F72" s="25">
        <f t="shared" ref="F72:F109" si="23">D72*E72</f>
        <v>0</v>
      </c>
      <c r="G72" s="21">
        <v>105</v>
      </c>
      <c r="H72" s="22">
        <f t="shared" ref="H72:H79" si="24">+G72*18%</f>
        <v>18.899999999999999</v>
      </c>
      <c r="I72" s="22">
        <f t="shared" ref="I72:I91" si="25">H72+G72</f>
        <v>123.9</v>
      </c>
      <c r="J72" s="133">
        <v>10</v>
      </c>
      <c r="K72" s="22">
        <v>123.9</v>
      </c>
      <c r="L72" s="61">
        <f t="shared" si="22"/>
        <v>1239</v>
      </c>
      <c r="M72" s="120" t="s">
        <v>64</v>
      </c>
      <c r="N72" s="9" t="s">
        <v>31</v>
      </c>
      <c r="O72" s="9" t="s">
        <v>203</v>
      </c>
      <c r="P72" s="145">
        <v>10</v>
      </c>
      <c r="Q72" s="10"/>
      <c r="R72" s="10"/>
      <c r="S72" s="10"/>
      <c r="T72" s="166">
        <v>105</v>
      </c>
      <c r="U72" s="25"/>
      <c r="V72" s="166">
        <v>105</v>
      </c>
      <c r="W72" s="164">
        <f t="shared" si="19"/>
        <v>18.899999999999999</v>
      </c>
      <c r="X72" s="167">
        <f t="shared" si="20"/>
        <v>123.9</v>
      </c>
      <c r="Y72" s="167">
        <f t="shared" si="21"/>
        <v>1239</v>
      </c>
      <c r="Z72" s="95">
        <f t="shared" ref="Z72:Z135" si="26">K72-X72</f>
        <v>0</v>
      </c>
    </row>
    <row r="73" spans="1:26" ht="15.75">
      <c r="A73" s="24" t="s">
        <v>63</v>
      </c>
      <c r="B73" s="9" t="s">
        <v>31</v>
      </c>
      <c r="C73" s="10">
        <v>2</v>
      </c>
      <c r="D73" s="10"/>
      <c r="E73" s="25"/>
      <c r="F73" s="25">
        <f t="shared" si="23"/>
        <v>0</v>
      </c>
      <c r="G73" s="21">
        <v>65</v>
      </c>
      <c r="H73" s="22">
        <f t="shared" si="24"/>
        <v>11.7</v>
      </c>
      <c r="I73" s="22">
        <f t="shared" si="25"/>
        <v>76.7</v>
      </c>
      <c r="J73" s="102">
        <v>0</v>
      </c>
      <c r="K73" s="22"/>
      <c r="L73" s="61">
        <f t="shared" si="22"/>
        <v>0</v>
      </c>
      <c r="M73" s="120"/>
      <c r="N73" s="9"/>
      <c r="O73" s="9"/>
      <c r="P73" s="145"/>
      <c r="Q73" s="10"/>
      <c r="R73" s="10"/>
      <c r="S73" s="10"/>
      <c r="T73" s="166"/>
      <c r="U73" s="25"/>
      <c r="V73" s="166"/>
      <c r="W73" s="164"/>
      <c r="X73" s="167"/>
      <c r="Y73" s="167"/>
      <c r="Z73" s="95">
        <f t="shared" si="26"/>
        <v>0</v>
      </c>
    </row>
    <row r="74" spans="1:26" ht="15.75">
      <c r="A74" s="24" t="s">
        <v>62</v>
      </c>
      <c r="B74" s="9" t="s">
        <v>31</v>
      </c>
      <c r="C74" s="10">
        <v>25</v>
      </c>
      <c r="D74" s="10">
        <v>40</v>
      </c>
      <c r="E74" s="25">
        <f>7080/D74</f>
        <v>177</v>
      </c>
      <c r="F74" s="25">
        <f t="shared" si="23"/>
        <v>7080</v>
      </c>
      <c r="G74" s="21">
        <v>60</v>
      </c>
      <c r="H74" s="22">
        <f t="shared" si="24"/>
        <v>10.799999999999999</v>
      </c>
      <c r="I74" s="22">
        <f t="shared" si="25"/>
        <v>70.8</v>
      </c>
      <c r="J74" s="133">
        <v>62</v>
      </c>
      <c r="K74" s="22">
        <v>177</v>
      </c>
      <c r="L74" s="61">
        <f t="shared" si="22"/>
        <v>10974</v>
      </c>
      <c r="M74" s="120" t="s">
        <v>216</v>
      </c>
      <c r="N74" s="9" t="s">
        <v>31</v>
      </c>
      <c r="O74" s="9" t="s">
        <v>203</v>
      </c>
      <c r="P74" s="145">
        <v>62</v>
      </c>
      <c r="Q74" s="10">
        <v>40</v>
      </c>
      <c r="R74" s="10">
        <v>2</v>
      </c>
      <c r="S74" s="10"/>
      <c r="T74" s="166">
        <v>60</v>
      </c>
      <c r="U74" s="25">
        <v>150</v>
      </c>
      <c r="V74" s="166">
        <v>150</v>
      </c>
      <c r="W74" s="164">
        <f t="shared" ref="W74:W81" si="27">V74*18%</f>
        <v>27</v>
      </c>
      <c r="X74" s="167">
        <f t="shared" ref="X74:X105" si="28">W74+V74</f>
        <v>177</v>
      </c>
      <c r="Y74" s="167">
        <f t="shared" ref="Y74:Y105" si="29">X74*P74</f>
        <v>10974</v>
      </c>
      <c r="Z74" s="95">
        <f t="shared" si="26"/>
        <v>0</v>
      </c>
    </row>
    <row r="75" spans="1:26" ht="15.75">
      <c r="A75" s="24" t="s">
        <v>65</v>
      </c>
      <c r="B75" s="9" t="s">
        <v>13</v>
      </c>
      <c r="C75" s="10">
        <v>25</v>
      </c>
      <c r="D75" s="10"/>
      <c r="E75" s="25"/>
      <c r="F75" s="25">
        <f t="shared" si="23"/>
        <v>0</v>
      </c>
      <c r="G75" s="11">
        <v>67</v>
      </c>
      <c r="H75" s="104">
        <f t="shared" si="24"/>
        <v>12.059999999999999</v>
      </c>
      <c r="I75" s="104">
        <f t="shared" si="25"/>
        <v>79.06</v>
      </c>
      <c r="J75" s="133">
        <v>10</v>
      </c>
      <c r="K75" s="104">
        <v>79.06</v>
      </c>
      <c r="L75" s="61">
        <f t="shared" si="22"/>
        <v>790.6</v>
      </c>
      <c r="M75" s="120" t="s">
        <v>65</v>
      </c>
      <c r="N75" s="9" t="s">
        <v>13</v>
      </c>
      <c r="O75" s="9" t="s">
        <v>202</v>
      </c>
      <c r="P75" s="145">
        <v>10</v>
      </c>
      <c r="Q75" s="10"/>
      <c r="R75" s="10">
        <v>2</v>
      </c>
      <c r="S75" s="10"/>
      <c r="T75" s="166">
        <v>67</v>
      </c>
      <c r="U75" s="10"/>
      <c r="V75" s="166">
        <v>67</v>
      </c>
      <c r="W75" s="164">
        <f t="shared" si="27"/>
        <v>12.059999999999999</v>
      </c>
      <c r="X75" s="166">
        <f t="shared" si="28"/>
        <v>79.06</v>
      </c>
      <c r="Y75" s="166">
        <f t="shared" si="29"/>
        <v>790.6</v>
      </c>
      <c r="Z75" s="95">
        <f t="shared" si="26"/>
        <v>0</v>
      </c>
    </row>
    <row r="76" spans="1:26" ht="15.75">
      <c r="A76" s="24" t="s">
        <v>168</v>
      </c>
      <c r="B76" s="9" t="s">
        <v>13</v>
      </c>
      <c r="C76" s="10">
        <v>15</v>
      </c>
      <c r="D76" s="10"/>
      <c r="E76" s="25"/>
      <c r="F76" s="25">
        <f t="shared" si="23"/>
        <v>0</v>
      </c>
      <c r="G76" s="11">
        <v>98</v>
      </c>
      <c r="H76" s="104">
        <f t="shared" si="24"/>
        <v>17.64</v>
      </c>
      <c r="I76" s="104">
        <f t="shared" si="25"/>
        <v>115.64</v>
      </c>
      <c r="J76" s="133">
        <v>15</v>
      </c>
      <c r="K76" s="104">
        <v>115.64</v>
      </c>
      <c r="L76" s="61">
        <f t="shared" si="22"/>
        <v>1734.6</v>
      </c>
      <c r="M76" s="120" t="s">
        <v>168</v>
      </c>
      <c r="N76" s="9" t="s">
        <v>13</v>
      </c>
      <c r="O76" s="9" t="s">
        <v>202</v>
      </c>
      <c r="P76" s="145">
        <v>15</v>
      </c>
      <c r="Q76" s="10"/>
      <c r="R76" s="10"/>
      <c r="S76" s="10"/>
      <c r="T76" s="166">
        <v>98</v>
      </c>
      <c r="U76" s="10"/>
      <c r="V76" s="166">
        <v>98</v>
      </c>
      <c r="W76" s="164">
        <f t="shared" si="27"/>
        <v>17.64</v>
      </c>
      <c r="X76" s="166">
        <f t="shared" si="28"/>
        <v>115.64</v>
      </c>
      <c r="Y76" s="166">
        <f t="shared" si="29"/>
        <v>1734.6</v>
      </c>
      <c r="Z76" s="95">
        <f t="shared" si="26"/>
        <v>0</v>
      </c>
    </row>
    <row r="77" spans="1:26" ht="15.75">
      <c r="A77" s="24" t="s">
        <v>67</v>
      </c>
      <c r="B77" s="9" t="s">
        <v>13</v>
      </c>
      <c r="C77" s="10">
        <v>33</v>
      </c>
      <c r="D77" s="10"/>
      <c r="E77" s="25"/>
      <c r="F77" s="25">
        <f t="shared" si="23"/>
        <v>0</v>
      </c>
      <c r="G77" s="21">
        <v>34</v>
      </c>
      <c r="H77" s="22">
        <f t="shared" si="24"/>
        <v>6.12</v>
      </c>
      <c r="I77" s="22">
        <f t="shared" si="25"/>
        <v>40.119999999999997</v>
      </c>
      <c r="J77" s="133">
        <v>33</v>
      </c>
      <c r="K77" s="22">
        <v>40.119999999999997</v>
      </c>
      <c r="L77" s="61">
        <f t="shared" si="22"/>
        <v>1323.9599999999998</v>
      </c>
      <c r="M77" s="120" t="s">
        <v>67</v>
      </c>
      <c r="N77" s="9" t="s">
        <v>13</v>
      </c>
      <c r="O77" s="9" t="s">
        <v>203</v>
      </c>
      <c r="P77" s="145">
        <v>33</v>
      </c>
      <c r="Q77" s="10"/>
      <c r="R77" s="10"/>
      <c r="S77" s="10"/>
      <c r="T77" s="166">
        <v>34</v>
      </c>
      <c r="U77" s="25"/>
      <c r="V77" s="166">
        <v>34</v>
      </c>
      <c r="W77" s="164">
        <f t="shared" si="27"/>
        <v>6.12</v>
      </c>
      <c r="X77" s="167">
        <f t="shared" si="28"/>
        <v>40.119999999999997</v>
      </c>
      <c r="Y77" s="167">
        <f t="shared" si="29"/>
        <v>1323.9599999999998</v>
      </c>
      <c r="Z77" s="95">
        <f t="shared" si="26"/>
        <v>0</v>
      </c>
    </row>
    <row r="78" spans="1:26" ht="15.75">
      <c r="A78" s="24" t="s">
        <v>68</v>
      </c>
      <c r="B78" s="9" t="s">
        <v>9</v>
      </c>
      <c r="C78" s="10">
        <v>36</v>
      </c>
      <c r="D78" s="10"/>
      <c r="E78" s="25"/>
      <c r="F78" s="25">
        <f t="shared" si="23"/>
        <v>0</v>
      </c>
      <c r="G78" s="11">
        <v>110</v>
      </c>
      <c r="H78" s="104">
        <f t="shared" si="24"/>
        <v>19.8</v>
      </c>
      <c r="I78" s="104">
        <f t="shared" si="25"/>
        <v>129.80000000000001</v>
      </c>
      <c r="J78" s="133">
        <v>21</v>
      </c>
      <c r="K78" s="104">
        <v>129.80000000000001</v>
      </c>
      <c r="L78" s="61">
        <f t="shared" si="22"/>
        <v>2725.8</v>
      </c>
      <c r="M78" s="120" t="s">
        <v>68</v>
      </c>
      <c r="N78" s="9" t="s">
        <v>9</v>
      </c>
      <c r="O78" s="9" t="s">
        <v>202</v>
      </c>
      <c r="P78" s="145">
        <v>21</v>
      </c>
      <c r="Q78" s="10"/>
      <c r="R78" s="10">
        <v>4</v>
      </c>
      <c r="S78" s="10"/>
      <c r="T78" s="166">
        <v>110</v>
      </c>
      <c r="U78" s="10"/>
      <c r="V78" s="166">
        <v>110</v>
      </c>
      <c r="W78" s="164">
        <f t="shared" si="27"/>
        <v>19.8</v>
      </c>
      <c r="X78" s="166">
        <f t="shared" si="28"/>
        <v>129.80000000000001</v>
      </c>
      <c r="Y78" s="166">
        <f t="shared" si="29"/>
        <v>2725.8</v>
      </c>
      <c r="Z78" s="95">
        <f t="shared" si="26"/>
        <v>0</v>
      </c>
    </row>
    <row r="79" spans="1:26" ht="15.75">
      <c r="A79" s="24" t="s">
        <v>69</v>
      </c>
      <c r="B79" s="9" t="s">
        <v>13</v>
      </c>
      <c r="C79" s="10">
        <v>14</v>
      </c>
      <c r="D79" s="10"/>
      <c r="E79" s="25"/>
      <c r="F79" s="25">
        <f t="shared" si="23"/>
        <v>0</v>
      </c>
      <c r="G79" s="21">
        <v>940</v>
      </c>
      <c r="H79" s="22">
        <f t="shared" si="24"/>
        <v>169.2</v>
      </c>
      <c r="I79" s="22">
        <f t="shared" si="25"/>
        <v>1109.2</v>
      </c>
      <c r="J79" s="133">
        <v>14</v>
      </c>
      <c r="K79" s="22">
        <v>1109.2</v>
      </c>
      <c r="L79" s="61">
        <f t="shared" si="22"/>
        <v>15528.800000000001</v>
      </c>
      <c r="M79" s="120" t="s">
        <v>69</v>
      </c>
      <c r="N79" s="9" t="s">
        <v>13</v>
      </c>
      <c r="O79" s="9" t="s">
        <v>203</v>
      </c>
      <c r="P79" s="145">
        <v>14</v>
      </c>
      <c r="Q79" s="10"/>
      <c r="R79" s="10"/>
      <c r="S79" s="10"/>
      <c r="T79" s="166">
        <v>940</v>
      </c>
      <c r="U79" s="25"/>
      <c r="V79" s="166">
        <v>940</v>
      </c>
      <c r="W79" s="164">
        <f t="shared" si="27"/>
        <v>169.2</v>
      </c>
      <c r="X79" s="167">
        <f t="shared" si="28"/>
        <v>1109.2</v>
      </c>
      <c r="Y79" s="167">
        <f t="shared" si="29"/>
        <v>15528.800000000001</v>
      </c>
      <c r="Z79" s="95">
        <f t="shared" si="26"/>
        <v>0</v>
      </c>
    </row>
    <row r="80" spans="1:26" ht="15.75">
      <c r="A80" s="24" t="s">
        <v>70</v>
      </c>
      <c r="B80" s="9" t="s">
        <v>31</v>
      </c>
      <c r="C80" s="10">
        <v>1</v>
      </c>
      <c r="D80" s="10">
        <v>10</v>
      </c>
      <c r="E80" s="25">
        <f>672.6/D80</f>
        <v>67.260000000000005</v>
      </c>
      <c r="F80" s="25">
        <f t="shared" si="23"/>
        <v>672.6</v>
      </c>
      <c r="G80" s="21">
        <v>211.65</v>
      </c>
      <c r="H80" s="22"/>
      <c r="I80" s="22">
        <f t="shared" si="25"/>
        <v>211.65</v>
      </c>
      <c r="J80" s="133">
        <v>12</v>
      </c>
      <c r="K80" s="22">
        <v>67.260000000000005</v>
      </c>
      <c r="L80" s="61">
        <f t="shared" si="22"/>
        <v>807.12000000000012</v>
      </c>
      <c r="M80" s="120" t="s">
        <v>70</v>
      </c>
      <c r="N80" s="9" t="s">
        <v>31</v>
      </c>
      <c r="O80" s="9" t="s">
        <v>203</v>
      </c>
      <c r="P80" s="145">
        <v>12</v>
      </c>
      <c r="Q80" s="10"/>
      <c r="R80" s="10"/>
      <c r="S80" s="10"/>
      <c r="T80" s="166">
        <v>211.65</v>
      </c>
      <c r="U80" s="25"/>
      <c r="V80" s="166">
        <v>211.65</v>
      </c>
      <c r="W80" s="164">
        <f t="shared" si="27"/>
        <v>38.097000000000001</v>
      </c>
      <c r="X80" s="166">
        <f t="shared" si="28"/>
        <v>249.74700000000001</v>
      </c>
      <c r="Y80" s="166">
        <f t="shared" si="29"/>
        <v>2996.9639999999999</v>
      </c>
      <c r="Z80" s="95">
        <f t="shared" si="26"/>
        <v>-182.48700000000002</v>
      </c>
    </row>
    <row r="81" spans="1:26" ht="15.75">
      <c r="A81" s="24" t="s">
        <v>71</v>
      </c>
      <c r="B81" s="9" t="s">
        <v>13</v>
      </c>
      <c r="C81" s="10">
        <v>60</v>
      </c>
      <c r="D81" s="10"/>
      <c r="E81" s="25"/>
      <c r="F81" s="25">
        <f t="shared" si="23"/>
        <v>0</v>
      </c>
      <c r="G81" s="11">
        <v>50</v>
      </c>
      <c r="H81" s="104">
        <f t="shared" ref="H81:H91" si="30">+G81*18%</f>
        <v>9</v>
      </c>
      <c r="I81" s="104">
        <f t="shared" si="25"/>
        <v>59</v>
      </c>
      <c r="J81" s="133">
        <v>42</v>
      </c>
      <c r="K81" s="104">
        <v>59</v>
      </c>
      <c r="L81" s="61">
        <f t="shared" si="22"/>
        <v>2478</v>
      </c>
      <c r="M81" s="120" t="s">
        <v>71</v>
      </c>
      <c r="N81" s="9" t="s">
        <v>13</v>
      </c>
      <c r="O81" s="9" t="s">
        <v>202</v>
      </c>
      <c r="P81" s="145">
        <v>42</v>
      </c>
      <c r="Q81" s="10"/>
      <c r="R81" s="10">
        <v>5</v>
      </c>
      <c r="S81" s="10"/>
      <c r="T81" s="166">
        <v>50</v>
      </c>
      <c r="U81" s="10"/>
      <c r="V81" s="166">
        <v>50</v>
      </c>
      <c r="W81" s="164">
        <f t="shared" si="27"/>
        <v>9</v>
      </c>
      <c r="X81" s="167">
        <f t="shared" si="28"/>
        <v>59</v>
      </c>
      <c r="Y81" s="167">
        <f t="shared" si="29"/>
        <v>2478</v>
      </c>
      <c r="Z81" s="95">
        <f t="shared" si="26"/>
        <v>0</v>
      </c>
    </row>
    <row r="82" spans="1:26" ht="15.75">
      <c r="A82" s="119" t="s">
        <v>72</v>
      </c>
      <c r="B82" s="9" t="s">
        <v>31</v>
      </c>
      <c r="C82" s="10">
        <v>25</v>
      </c>
      <c r="D82" s="10">
        <f>60*12</f>
        <v>720</v>
      </c>
      <c r="E82" s="25">
        <f>5310/D82</f>
        <v>7.375</v>
      </c>
      <c r="F82" s="25">
        <f t="shared" si="23"/>
        <v>5310</v>
      </c>
      <c r="G82" s="21">
        <v>95.49</v>
      </c>
      <c r="H82" s="22">
        <f t="shared" si="30"/>
        <v>17.188199999999998</v>
      </c>
      <c r="I82" s="22">
        <f t="shared" si="25"/>
        <v>112.67819999999999</v>
      </c>
      <c r="J82" s="133">
        <v>936</v>
      </c>
      <c r="K82" s="22">
        <v>7.38</v>
      </c>
      <c r="L82" s="61">
        <f t="shared" si="22"/>
        <v>6907.68</v>
      </c>
      <c r="M82" s="120" t="s">
        <v>72</v>
      </c>
      <c r="N82" s="9" t="s">
        <v>13</v>
      </c>
      <c r="O82" s="9" t="s">
        <v>203</v>
      </c>
      <c r="P82" s="145">
        <v>936</v>
      </c>
      <c r="Q82" s="10">
        <v>60</v>
      </c>
      <c r="R82" s="10">
        <v>40</v>
      </c>
      <c r="S82" s="10"/>
      <c r="T82" s="166">
        <v>95.49</v>
      </c>
      <c r="U82" s="25">
        <v>88.5</v>
      </c>
      <c r="V82" s="166">
        <v>7.38</v>
      </c>
      <c r="W82" s="164">
        <v>0</v>
      </c>
      <c r="X82" s="167">
        <f t="shared" si="28"/>
        <v>7.38</v>
      </c>
      <c r="Y82" s="167">
        <f t="shared" si="29"/>
        <v>6907.68</v>
      </c>
      <c r="Z82" s="95">
        <f t="shared" si="26"/>
        <v>0</v>
      </c>
    </row>
    <row r="83" spans="1:26" ht="15.75">
      <c r="A83" s="24" t="s">
        <v>73</v>
      </c>
      <c r="B83" s="9" t="s">
        <v>13</v>
      </c>
      <c r="C83" s="10">
        <v>60</v>
      </c>
      <c r="D83" s="10"/>
      <c r="E83" s="25"/>
      <c r="F83" s="25">
        <f t="shared" si="23"/>
        <v>0</v>
      </c>
      <c r="G83" s="21">
        <v>6.4</v>
      </c>
      <c r="H83" s="22">
        <f t="shared" si="30"/>
        <v>1.1519999999999999</v>
      </c>
      <c r="I83" s="22">
        <f t="shared" si="25"/>
        <v>7.5520000000000005</v>
      </c>
      <c r="J83" s="133">
        <v>56</v>
      </c>
      <c r="K83" s="22">
        <v>7.55</v>
      </c>
      <c r="L83" s="61">
        <f t="shared" si="22"/>
        <v>422.8</v>
      </c>
      <c r="M83" s="120" t="s">
        <v>73</v>
      </c>
      <c r="N83" s="9" t="s">
        <v>13</v>
      </c>
      <c r="O83" s="9" t="s">
        <v>203</v>
      </c>
      <c r="P83" s="145">
        <v>56</v>
      </c>
      <c r="Q83" s="10"/>
      <c r="R83" s="10"/>
      <c r="S83" s="10"/>
      <c r="T83" s="166">
        <v>6.4</v>
      </c>
      <c r="U83" s="25"/>
      <c r="V83" s="166">
        <v>6.4</v>
      </c>
      <c r="W83" s="164">
        <f t="shared" ref="W83:W122" si="31">V83*18%</f>
        <v>1.1519999999999999</v>
      </c>
      <c r="X83" s="167">
        <f t="shared" si="28"/>
        <v>7.5520000000000005</v>
      </c>
      <c r="Y83" s="167">
        <f t="shared" si="29"/>
        <v>422.91200000000003</v>
      </c>
      <c r="Z83" s="95">
        <f t="shared" si="26"/>
        <v>-2.0000000000006679E-3</v>
      </c>
    </row>
    <row r="84" spans="1:26" ht="15.75">
      <c r="A84" s="24" t="s">
        <v>75</v>
      </c>
      <c r="B84" s="9" t="s">
        <v>31</v>
      </c>
      <c r="C84" s="10">
        <v>23</v>
      </c>
      <c r="D84" s="10"/>
      <c r="E84" s="25"/>
      <c r="F84" s="25">
        <f t="shared" si="23"/>
        <v>0</v>
      </c>
      <c r="G84" s="21">
        <v>105.5</v>
      </c>
      <c r="H84" s="22">
        <f t="shared" si="30"/>
        <v>18.989999999999998</v>
      </c>
      <c r="I84" s="22">
        <f t="shared" si="25"/>
        <v>124.49</v>
      </c>
      <c r="J84" s="133">
        <v>192</v>
      </c>
      <c r="K84" s="22">
        <v>124.49</v>
      </c>
      <c r="L84" s="61">
        <f t="shared" si="22"/>
        <v>23902.079999999998</v>
      </c>
      <c r="M84" s="120" t="s">
        <v>75</v>
      </c>
      <c r="N84" s="9" t="s">
        <v>13</v>
      </c>
      <c r="O84" s="9" t="s">
        <v>203</v>
      </c>
      <c r="P84" s="145">
        <v>192</v>
      </c>
      <c r="Q84" s="10"/>
      <c r="R84" s="10">
        <v>72</v>
      </c>
      <c r="S84" s="10"/>
      <c r="T84" s="166">
        <v>105.5</v>
      </c>
      <c r="U84" s="25"/>
      <c r="V84" s="166">
        <v>8.7899999999999991</v>
      </c>
      <c r="W84" s="164">
        <f t="shared" si="31"/>
        <v>1.5821999999999998</v>
      </c>
      <c r="X84" s="166">
        <f t="shared" si="28"/>
        <v>10.372199999999999</v>
      </c>
      <c r="Y84" s="166">
        <f t="shared" si="29"/>
        <v>1991.4623999999999</v>
      </c>
      <c r="Z84" s="95">
        <f t="shared" si="26"/>
        <v>114.11779999999999</v>
      </c>
    </row>
    <row r="85" spans="1:26" ht="15.75">
      <c r="A85" s="24" t="s">
        <v>76</v>
      </c>
      <c r="B85" s="9" t="s">
        <v>9</v>
      </c>
      <c r="C85" s="10">
        <v>80</v>
      </c>
      <c r="D85" s="10"/>
      <c r="E85" s="25"/>
      <c r="F85" s="25">
        <f t="shared" si="23"/>
        <v>0</v>
      </c>
      <c r="G85" s="11">
        <v>130</v>
      </c>
      <c r="H85" s="104">
        <f t="shared" si="30"/>
        <v>23.4</v>
      </c>
      <c r="I85" s="104">
        <f t="shared" si="25"/>
        <v>153.4</v>
      </c>
      <c r="J85" s="133">
        <v>72</v>
      </c>
      <c r="K85" s="104">
        <v>153.4</v>
      </c>
      <c r="L85" s="61">
        <f t="shared" si="22"/>
        <v>11044.800000000001</v>
      </c>
      <c r="M85" s="120" t="s">
        <v>76</v>
      </c>
      <c r="N85" s="9" t="s">
        <v>9</v>
      </c>
      <c r="O85" s="9" t="s">
        <v>202</v>
      </c>
      <c r="P85" s="145">
        <v>72</v>
      </c>
      <c r="Q85" s="10"/>
      <c r="R85" s="10">
        <v>2</v>
      </c>
      <c r="S85" s="10"/>
      <c r="T85" s="166">
        <v>130</v>
      </c>
      <c r="U85" s="10"/>
      <c r="V85" s="166">
        <v>130</v>
      </c>
      <c r="W85" s="164">
        <f t="shared" si="31"/>
        <v>23.4</v>
      </c>
      <c r="X85" s="167">
        <f t="shared" si="28"/>
        <v>153.4</v>
      </c>
      <c r="Y85" s="167">
        <f t="shared" si="29"/>
        <v>11044.800000000001</v>
      </c>
      <c r="Z85" s="95">
        <f t="shared" si="26"/>
        <v>0</v>
      </c>
    </row>
    <row r="86" spans="1:26" ht="15.75">
      <c r="A86" s="24" t="s">
        <v>80</v>
      </c>
      <c r="B86" s="9" t="s">
        <v>13</v>
      </c>
      <c r="C86" s="10">
        <v>84</v>
      </c>
      <c r="D86" s="10">
        <v>25</v>
      </c>
      <c r="E86" s="25">
        <f>2301/D86</f>
        <v>92.04</v>
      </c>
      <c r="F86" s="25">
        <f t="shared" si="23"/>
        <v>2301</v>
      </c>
      <c r="G86" s="21">
        <v>57.88</v>
      </c>
      <c r="H86" s="22">
        <f t="shared" si="30"/>
        <v>10.4184</v>
      </c>
      <c r="I86" s="22">
        <f t="shared" si="25"/>
        <v>68.298400000000001</v>
      </c>
      <c r="J86" s="133">
        <v>98</v>
      </c>
      <c r="K86" s="22">
        <v>92.04</v>
      </c>
      <c r="L86" s="61">
        <f t="shared" si="22"/>
        <v>9019.92</v>
      </c>
      <c r="M86" s="120" t="s">
        <v>80</v>
      </c>
      <c r="N86" s="9" t="s">
        <v>13</v>
      </c>
      <c r="O86" s="9" t="s">
        <v>203</v>
      </c>
      <c r="P86" s="145">
        <v>98</v>
      </c>
      <c r="Q86" s="10">
        <v>25</v>
      </c>
      <c r="R86" s="10">
        <v>6</v>
      </c>
      <c r="S86" s="10"/>
      <c r="T86" s="166">
        <v>57.88</v>
      </c>
      <c r="U86" s="25">
        <v>78</v>
      </c>
      <c r="V86" s="166">
        <v>78</v>
      </c>
      <c r="W86" s="164">
        <f t="shared" si="31"/>
        <v>14.04</v>
      </c>
      <c r="X86" s="167">
        <f t="shared" si="28"/>
        <v>92.039999999999992</v>
      </c>
      <c r="Y86" s="167">
        <f t="shared" si="29"/>
        <v>9019.92</v>
      </c>
      <c r="Z86" s="95">
        <f t="shared" si="26"/>
        <v>0</v>
      </c>
    </row>
    <row r="87" spans="1:26" ht="15.75">
      <c r="A87" s="24" t="s">
        <v>79</v>
      </c>
      <c r="B87" s="9" t="s">
        <v>13</v>
      </c>
      <c r="C87" s="10">
        <v>57</v>
      </c>
      <c r="D87" s="10">
        <v>60</v>
      </c>
      <c r="E87" s="25">
        <f>2690.4/D87</f>
        <v>44.84</v>
      </c>
      <c r="F87" s="25">
        <f t="shared" si="23"/>
        <v>2690.4</v>
      </c>
      <c r="G87" s="21">
        <v>19.5</v>
      </c>
      <c r="H87" s="22">
        <f t="shared" si="30"/>
        <v>3.51</v>
      </c>
      <c r="I87" s="22">
        <f t="shared" si="25"/>
        <v>23.009999999999998</v>
      </c>
      <c r="J87" s="133">
        <v>92</v>
      </c>
      <c r="K87" s="22">
        <v>44.84</v>
      </c>
      <c r="L87" s="61">
        <f t="shared" si="22"/>
        <v>4125.2800000000007</v>
      </c>
      <c r="M87" s="120" t="s">
        <v>79</v>
      </c>
      <c r="N87" s="9" t="s">
        <v>13</v>
      </c>
      <c r="O87" s="9" t="s">
        <v>203</v>
      </c>
      <c r="P87" s="145">
        <v>92</v>
      </c>
      <c r="Q87" s="10">
        <v>60</v>
      </c>
      <c r="R87" s="10">
        <v>6</v>
      </c>
      <c r="S87" s="10"/>
      <c r="T87" s="166">
        <v>19.5</v>
      </c>
      <c r="U87" s="25">
        <v>38</v>
      </c>
      <c r="V87" s="166">
        <v>38</v>
      </c>
      <c r="W87" s="164">
        <f t="shared" si="31"/>
        <v>6.84</v>
      </c>
      <c r="X87" s="167">
        <f t="shared" si="28"/>
        <v>44.84</v>
      </c>
      <c r="Y87" s="167">
        <f t="shared" si="29"/>
        <v>4125.2800000000007</v>
      </c>
      <c r="Z87" s="95">
        <f t="shared" si="26"/>
        <v>0</v>
      </c>
    </row>
    <row r="88" spans="1:26" ht="15.75">
      <c r="A88" s="24" t="s">
        <v>78</v>
      </c>
      <c r="B88" s="9" t="s">
        <v>13</v>
      </c>
      <c r="C88" s="10">
        <v>13</v>
      </c>
      <c r="D88" s="10"/>
      <c r="E88" s="25"/>
      <c r="F88" s="25">
        <f t="shared" si="23"/>
        <v>0</v>
      </c>
      <c r="G88" s="21">
        <v>224.99</v>
      </c>
      <c r="H88" s="22">
        <f t="shared" si="30"/>
        <v>40.498199999999997</v>
      </c>
      <c r="I88" s="22">
        <f t="shared" si="25"/>
        <v>265.48820000000001</v>
      </c>
      <c r="J88" s="133">
        <v>11</v>
      </c>
      <c r="K88" s="22">
        <v>265.49</v>
      </c>
      <c r="L88" s="61">
        <f t="shared" si="22"/>
        <v>2920.3900000000003</v>
      </c>
      <c r="M88" s="120" t="s">
        <v>78</v>
      </c>
      <c r="N88" s="9" t="s">
        <v>13</v>
      </c>
      <c r="O88" s="9" t="s">
        <v>203</v>
      </c>
      <c r="P88" s="145">
        <v>11</v>
      </c>
      <c r="Q88" s="10"/>
      <c r="R88" s="10">
        <v>1</v>
      </c>
      <c r="S88" s="10"/>
      <c r="T88" s="166">
        <v>224.99</v>
      </c>
      <c r="U88" s="25"/>
      <c r="V88" s="166">
        <v>224.99</v>
      </c>
      <c r="W88" s="164">
        <f t="shared" si="31"/>
        <v>40.498199999999997</v>
      </c>
      <c r="X88" s="167">
        <f t="shared" si="28"/>
        <v>265.48820000000001</v>
      </c>
      <c r="Y88" s="167">
        <f t="shared" si="29"/>
        <v>2920.3702000000003</v>
      </c>
      <c r="Z88" s="95">
        <f t="shared" si="26"/>
        <v>1.8000000000029104E-3</v>
      </c>
    </row>
    <row r="89" spans="1:26" ht="15.75">
      <c r="A89" s="24" t="s">
        <v>77</v>
      </c>
      <c r="B89" s="9" t="s">
        <v>13</v>
      </c>
      <c r="C89" s="10">
        <v>24</v>
      </c>
      <c r="D89" s="10"/>
      <c r="E89" s="25"/>
      <c r="F89" s="25">
        <f t="shared" si="23"/>
        <v>0</v>
      </c>
      <c r="G89" s="21">
        <v>330.55</v>
      </c>
      <c r="H89" s="22">
        <f t="shared" si="30"/>
        <v>59.499000000000002</v>
      </c>
      <c r="I89" s="22">
        <f t="shared" si="25"/>
        <v>390.04900000000004</v>
      </c>
      <c r="J89" s="133">
        <v>22</v>
      </c>
      <c r="K89" s="22">
        <v>390.05</v>
      </c>
      <c r="L89" s="61">
        <f t="shared" si="22"/>
        <v>8581.1</v>
      </c>
      <c r="M89" s="120" t="s">
        <v>77</v>
      </c>
      <c r="N89" s="9" t="s">
        <v>13</v>
      </c>
      <c r="O89" s="9" t="s">
        <v>203</v>
      </c>
      <c r="P89" s="145">
        <v>22</v>
      </c>
      <c r="Q89" s="10"/>
      <c r="R89" s="10">
        <v>1</v>
      </c>
      <c r="S89" s="10"/>
      <c r="T89" s="166">
        <v>330.55</v>
      </c>
      <c r="U89" s="25"/>
      <c r="V89" s="166">
        <v>330.55</v>
      </c>
      <c r="W89" s="164">
        <f t="shared" si="31"/>
        <v>59.499000000000002</v>
      </c>
      <c r="X89" s="167">
        <f t="shared" si="28"/>
        <v>390.04900000000004</v>
      </c>
      <c r="Y89" s="167">
        <f t="shared" si="29"/>
        <v>8581.0780000000013</v>
      </c>
      <c r="Z89" s="95">
        <f t="shared" si="26"/>
        <v>9.9999999997635314E-4</v>
      </c>
    </row>
    <row r="90" spans="1:26" ht="15.75">
      <c r="A90" s="70" t="s">
        <v>81</v>
      </c>
      <c r="B90" s="38" t="s">
        <v>9</v>
      </c>
      <c r="C90" s="39">
        <v>1</v>
      </c>
      <c r="D90" s="39"/>
      <c r="E90" s="114"/>
      <c r="F90" s="25">
        <f t="shared" si="23"/>
        <v>0</v>
      </c>
      <c r="G90" s="44">
        <v>120</v>
      </c>
      <c r="H90" s="105">
        <f t="shared" si="30"/>
        <v>21.599999999999998</v>
      </c>
      <c r="I90" s="105">
        <f t="shared" si="25"/>
        <v>141.6</v>
      </c>
      <c r="J90" s="133">
        <v>7</v>
      </c>
      <c r="K90" s="105">
        <v>141.6</v>
      </c>
      <c r="L90" s="61">
        <f t="shared" si="22"/>
        <v>991.19999999999993</v>
      </c>
      <c r="M90" s="120" t="s">
        <v>81</v>
      </c>
      <c r="N90" s="9" t="s">
        <v>9</v>
      </c>
      <c r="O90" s="9" t="s">
        <v>202</v>
      </c>
      <c r="P90" s="145">
        <v>7</v>
      </c>
      <c r="Q90" s="10"/>
      <c r="R90" s="10">
        <v>1</v>
      </c>
      <c r="S90" s="10"/>
      <c r="T90" s="166">
        <v>120</v>
      </c>
      <c r="U90" s="10"/>
      <c r="V90" s="166">
        <v>120</v>
      </c>
      <c r="W90" s="164">
        <f t="shared" si="31"/>
        <v>21.599999999999998</v>
      </c>
      <c r="X90" s="166">
        <f t="shared" si="28"/>
        <v>141.6</v>
      </c>
      <c r="Y90" s="166">
        <f t="shared" si="29"/>
        <v>991.19999999999993</v>
      </c>
      <c r="Z90" s="95">
        <f t="shared" si="26"/>
        <v>0</v>
      </c>
    </row>
    <row r="91" spans="1:26" ht="15.75">
      <c r="A91" s="24" t="s">
        <v>165</v>
      </c>
      <c r="B91" s="96" t="s">
        <v>166</v>
      </c>
      <c r="C91" s="97">
        <v>8</v>
      </c>
      <c r="D91" s="97"/>
      <c r="E91" s="115"/>
      <c r="F91" s="25">
        <f t="shared" si="23"/>
        <v>0</v>
      </c>
      <c r="G91" s="103">
        <v>195</v>
      </c>
      <c r="H91" s="103">
        <f t="shared" si="30"/>
        <v>35.1</v>
      </c>
      <c r="I91" s="103">
        <f t="shared" si="25"/>
        <v>230.1</v>
      </c>
      <c r="J91" s="133">
        <v>6</v>
      </c>
      <c r="K91" s="103">
        <v>230.1</v>
      </c>
      <c r="L91" s="61">
        <f t="shared" si="22"/>
        <v>1380.6</v>
      </c>
      <c r="M91" s="120" t="s">
        <v>217</v>
      </c>
      <c r="N91" s="9" t="s">
        <v>9</v>
      </c>
      <c r="O91" s="9" t="s">
        <v>202</v>
      </c>
      <c r="P91" s="145">
        <v>6</v>
      </c>
      <c r="Q91" s="10"/>
      <c r="R91" s="10"/>
      <c r="S91" s="10"/>
      <c r="T91" s="166">
        <v>195</v>
      </c>
      <c r="U91" s="10"/>
      <c r="V91" s="166">
        <v>195</v>
      </c>
      <c r="W91" s="164">
        <f t="shared" si="31"/>
        <v>35.1</v>
      </c>
      <c r="X91" s="166">
        <f t="shared" si="28"/>
        <v>230.1</v>
      </c>
      <c r="Y91" s="166">
        <f t="shared" si="29"/>
        <v>1380.6</v>
      </c>
      <c r="Z91" s="95">
        <f t="shared" si="26"/>
        <v>0</v>
      </c>
    </row>
    <row r="92" spans="1:26" ht="15.75">
      <c r="A92" s="120" t="s">
        <v>186</v>
      </c>
      <c r="B92" s="9" t="s">
        <v>13</v>
      </c>
      <c r="C92" s="97"/>
      <c r="D92" s="97">
        <v>4</v>
      </c>
      <c r="E92" s="115">
        <f>15340/D92</f>
        <v>3835</v>
      </c>
      <c r="F92" s="25">
        <f t="shared" si="23"/>
        <v>15340</v>
      </c>
      <c r="G92" s="103"/>
      <c r="H92" s="103"/>
      <c r="I92" s="103"/>
      <c r="J92" s="133">
        <v>4</v>
      </c>
      <c r="K92" s="103">
        <v>3835</v>
      </c>
      <c r="L92" s="61">
        <f t="shared" si="22"/>
        <v>15340</v>
      </c>
      <c r="M92" s="120" t="s">
        <v>186</v>
      </c>
      <c r="N92" s="9" t="s">
        <v>13</v>
      </c>
      <c r="O92" s="9" t="s">
        <v>203</v>
      </c>
      <c r="P92" s="145">
        <v>4</v>
      </c>
      <c r="Q92" s="10">
        <v>4</v>
      </c>
      <c r="R92" s="10"/>
      <c r="S92" s="10"/>
      <c r="T92" s="166">
        <v>3250</v>
      </c>
      <c r="U92" s="25">
        <v>3250</v>
      </c>
      <c r="V92" s="166">
        <v>3250</v>
      </c>
      <c r="W92" s="164">
        <f t="shared" si="31"/>
        <v>585</v>
      </c>
      <c r="X92" s="167">
        <f t="shared" si="28"/>
        <v>3835</v>
      </c>
      <c r="Y92" s="167">
        <f t="shared" si="29"/>
        <v>15340</v>
      </c>
      <c r="Z92" s="95">
        <f t="shared" si="26"/>
        <v>0</v>
      </c>
    </row>
    <row r="93" spans="1:26" ht="15.75">
      <c r="A93" s="24" t="s">
        <v>82</v>
      </c>
      <c r="B93" s="96" t="s">
        <v>31</v>
      </c>
      <c r="C93" s="97">
        <v>13</v>
      </c>
      <c r="D93" s="97">
        <v>20</v>
      </c>
      <c r="E93" s="115">
        <f>7221.6/20</f>
        <v>361.08000000000004</v>
      </c>
      <c r="F93" s="25">
        <f t="shared" si="23"/>
        <v>7221.6</v>
      </c>
      <c r="G93" s="98">
        <v>321</v>
      </c>
      <c r="H93" s="98">
        <f t="shared" ref="H93:H107" si="32">+G93*18%</f>
        <v>57.78</v>
      </c>
      <c r="I93" s="98">
        <f t="shared" ref="I93:I107" si="33">H93+G93</f>
        <v>378.78</v>
      </c>
      <c r="J93" s="133">
        <v>273</v>
      </c>
      <c r="K93" s="98">
        <v>30.09</v>
      </c>
      <c r="L93" s="61">
        <f t="shared" si="22"/>
        <v>8214.57</v>
      </c>
      <c r="M93" s="120" t="s">
        <v>218</v>
      </c>
      <c r="N93" s="9" t="s">
        <v>13</v>
      </c>
      <c r="O93" s="9" t="s">
        <v>203</v>
      </c>
      <c r="P93" s="145">
        <v>273</v>
      </c>
      <c r="Q93" s="10">
        <v>20</v>
      </c>
      <c r="R93" s="10">
        <v>1</v>
      </c>
      <c r="S93" s="10"/>
      <c r="T93" s="166">
        <v>321</v>
      </c>
      <c r="U93" s="25">
        <v>346</v>
      </c>
      <c r="V93" s="166">
        <v>28.83</v>
      </c>
      <c r="W93" s="164">
        <f t="shared" si="31"/>
        <v>5.1893999999999991</v>
      </c>
      <c r="X93" s="167">
        <f t="shared" si="28"/>
        <v>34.019399999999997</v>
      </c>
      <c r="Y93" s="167">
        <f t="shared" si="29"/>
        <v>9287.2961999999989</v>
      </c>
      <c r="Z93" s="95">
        <f t="shared" si="26"/>
        <v>-3.9293999999999976</v>
      </c>
    </row>
    <row r="94" spans="1:26" ht="15.75">
      <c r="A94" s="52" t="s">
        <v>83</v>
      </c>
      <c r="B94" s="20" t="s">
        <v>13</v>
      </c>
      <c r="C94" s="102">
        <v>60</v>
      </c>
      <c r="D94" s="102">
        <v>15</v>
      </c>
      <c r="E94" s="32">
        <f>(6124.2/15)</f>
        <v>408.28</v>
      </c>
      <c r="F94" s="25">
        <f t="shared" si="23"/>
        <v>6124.2</v>
      </c>
      <c r="G94" s="22">
        <v>23.76</v>
      </c>
      <c r="H94" s="22">
        <f t="shared" si="32"/>
        <v>4.2767999999999997</v>
      </c>
      <c r="I94" s="22">
        <f t="shared" si="33"/>
        <v>28.036799999999999</v>
      </c>
      <c r="J94" s="133">
        <v>192</v>
      </c>
      <c r="K94" s="22">
        <v>28.04</v>
      </c>
      <c r="L94" s="61">
        <f t="shared" si="22"/>
        <v>5383.68</v>
      </c>
      <c r="M94" s="120" t="s">
        <v>83</v>
      </c>
      <c r="N94" s="9" t="s">
        <v>13</v>
      </c>
      <c r="O94" s="9" t="s">
        <v>203</v>
      </c>
      <c r="P94" s="145">
        <v>192</v>
      </c>
      <c r="Q94" s="10">
        <v>240</v>
      </c>
      <c r="R94" s="10">
        <v>4</v>
      </c>
      <c r="S94" s="10"/>
      <c r="T94" s="166">
        <v>23.76</v>
      </c>
      <c r="U94" s="25">
        <v>25.5</v>
      </c>
      <c r="V94" s="166">
        <v>25.5</v>
      </c>
      <c r="W94" s="164">
        <f t="shared" si="31"/>
        <v>4.59</v>
      </c>
      <c r="X94" s="167">
        <f t="shared" si="28"/>
        <v>30.09</v>
      </c>
      <c r="Y94" s="167">
        <f t="shared" si="29"/>
        <v>5777.28</v>
      </c>
      <c r="Z94" s="95">
        <f t="shared" si="26"/>
        <v>-2.0500000000000007</v>
      </c>
    </row>
    <row r="95" spans="1:26" ht="15.75">
      <c r="A95" s="24" t="s">
        <v>85</v>
      </c>
      <c r="B95" s="9" t="s">
        <v>29</v>
      </c>
      <c r="C95" s="10">
        <v>23</v>
      </c>
      <c r="D95" s="10"/>
      <c r="E95" s="25"/>
      <c r="F95" s="25">
        <f t="shared" si="23"/>
        <v>0</v>
      </c>
      <c r="G95" s="11">
        <v>230</v>
      </c>
      <c r="H95" s="11">
        <f t="shared" si="32"/>
        <v>41.4</v>
      </c>
      <c r="I95" s="11">
        <f t="shared" si="33"/>
        <v>271.39999999999998</v>
      </c>
      <c r="J95" s="133">
        <v>13</v>
      </c>
      <c r="K95" s="11">
        <v>271.39999999999998</v>
      </c>
      <c r="L95" s="61">
        <f t="shared" si="22"/>
        <v>3528.2</v>
      </c>
      <c r="M95" s="120" t="s">
        <v>85</v>
      </c>
      <c r="N95" s="9" t="s">
        <v>29</v>
      </c>
      <c r="O95" s="9" t="s">
        <v>202</v>
      </c>
      <c r="P95" s="145">
        <v>13</v>
      </c>
      <c r="Q95" s="10"/>
      <c r="R95" s="10"/>
      <c r="S95" s="10"/>
      <c r="T95" s="166">
        <v>230</v>
      </c>
      <c r="U95" s="10"/>
      <c r="V95" s="166">
        <v>230</v>
      </c>
      <c r="W95" s="164">
        <f t="shared" si="31"/>
        <v>41.4</v>
      </c>
      <c r="X95" s="166">
        <f t="shared" si="28"/>
        <v>271.39999999999998</v>
      </c>
      <c r="Y95" s="166">
        <f t="shared" si="29"/>
        <v>3528.2</v>
      </c>
      <c r="Z95" s="95">
        <f t="shared" si="26"/>
        <v>0</v>
      </c>
    </row>
    <row r="96" spans="1:26" ht="15.75">
      <c r="A96" s="24" t="s">
        <v>87</v>
      </c>
      <c r="B96" s="9" t="s">
        <v>13</v>
      </c>
      <c r="C96" s="10">
        <v>27</v>
      </c>
      <c r="D96" s="10"/>
      <c r="E96" s="25"/>
      <c r="F96" s="25">
        <f t="shared" si="23"/>
        <v>0</v>
      </c>
      <c r="G96" s="11">
        <v>90</v>
      </c>
      <c r="H96" s="11">
        <f t="shared" si="32"/>
        <v>16.2</v>
      </c>
      <c r="I96" s="11">
        <f t="shared" si="33"/>
        <v>106.2</v>
      </c>
      <c r="J96" s="133">
        <v>14</v>
      </c>
      <c r="K96" s="11">
        <v>106.2</v>
      </c>
      <c r="L96" s="61">
        <f t="shared" si="22"/>
        <v>1486.8</v>
      </c>
      <c r="M96" s="120" t="s">
        <v>219</v>
      </c>
      <c r="N96" s="9" t="s">
        <v>13</v>
      </c>
      <c r="O96" s="9" t="s">
        <v>202</v>
      </c>
      <c r="P96" s="145">
        <v>14</v>
      </c>
      <c r="Q96" s="10"/>
      <c r="R96" s="10">
        <v>1</v>
      </c>
      <c r="S96" s="10"/>
      <c r="T96" s="166">
        <v>90</v>
      </c>
      <c r="U96" s="10"/>
      <c r="V96" s="166">
        <v>90</v>
      </c>
      <c r="W96" s="164">
        <f t="shared" si="31"/>
        <v>16.2</v>
      </c>
      <c r="X96" s="166">
        <f t="shared" si="28"/>
        <v>106.2</v>
      </c>
      <c r="Y96" s="166">
        <f t="shared" si="29"/>
        <v>1486.8</v>
      </c>
      <c r="Z96" s="95">
        <f t="shared" si="26"/>
        <v>0</v>
      </c>
    </row>
    <row r="97" spans="1:26" ht="15.75">
      <c r="A97" s="24" t="s">
        <v>88</v>
      </c>
      <c r="B97" s="9" t="s">
        <v>89</v>
      </c>
      <c r="C97" s="10">
        <v>90</v>
      </c>
      <c r="D97" s="10">
        <v>250</v>
      </c>
      <c r="E97" s="25">
        <f>109150/D97</f>
        <v>436.6</v>
      </c>
      <c r="F97" s="25">
        <f t="shared" si="23"/>
        <v>109150</v>
      </c>
      <c r="G97" s="21">
        <v>375</v>
      </c>
      <c r="H97" s="21">
        <f t="shared" si="32"/>
        <v>67.5</v>
      </c>
      <c r="I97" s="21">
        <f t="shared" si="33"/>
        <v>442.5</v>
      </c>
      <c r="J97" s="133">
        <v>302</v>
      </c>
      <c r="K97" s="21">
        <v>436.6</v>
      </c>
      <c r="L97" s="61">
        <f t="shared" si="22"/>
        <v>131853.20000000001</v>
      </c>
      <c r="M97" s="120" t="s">
        <v>88</v>
      </c>
      <c r="N97" s="9" t="s">
        <v>89</v>
      </c>
      <c r="O97" s="9" t="s">
        <v>203</v>
      </c>
      <c r="P97" s="145">
        <v>302</v>
      </c>
      <c r="Q97" s="10">
        <v>250</v>
      </c>
      <c r="R97" s="10">
        <v>24</v>
      </c>
      <c r="S97" s="10"/>
      <c r="T97" s="166">
        <v>375</v>
      </c>
      <c r="U97" s="25">
        <v>370</v>
      </c>
      <c r="V97" s="166">
        <v>370</v>
      </c>
      <c r="W97" s="164">
        <f t="shared" si="31"/>
        <v>66.599999999999994</v>
      </c>
      <c r="X97" s="167">
        <f t="shared" si="28"/>
        <v>436.6</v>
      </c>
      <c r="Y97" s="167">
        <f t="shared" si="29"/>
        <v>131853.20000000001</v>
      </c>
      <c r="Z97" s="95">
        <f t="shared" si="26"/>
        <v>0</v>
      </c>
    </row>
    <row r="98" spans="1:26" ht="15.75">
      <c r="A98" s="24" t="s">
        <v>90</v>
      </c>
      <c r="B98" s="9" t="s">
        <v>89</v>
      </c>
      <c r="C98" s="10">
        <v>9</v>
      </c>
      <c r="D98" s="10">
        <v>15</v>
      </c>
      <c r="E98" s="25">
        <f>7611/D98</f>
        <v>507.4</v>
      </c>
      <c r="F98" s="25">
        <f t="shared" si="23"/>
        <v>7611</v>
      </c>
      <c r="G98" s="21">
        <v>360</v>
      </c>
      <c r="H98" s="21">
        <f t="shared" si="32"/>
        <v>64.8</v>
      </c>
      <c r="I98" s="21">
        <f t="shared" si="33"/>
        <v>424.8</v>
      </c>
      <c r="J98" s="133">
        <v>22</v>
      </c>
      <c r="K98" s="21">
        <v>507.4</v>
      </c>
      <c r="L98" s="61">
        <f t="shared" si="22"/>
        <v>11162.8</v>
      </c>
      <c r="M98" s="120" t="s">
        <v>90</v>
      </c>
      <c r="N98" s="9" t="s">
        <v>89</v>
      </c>
      <c r="O98" s="9" t="s">
        <v>203</v>
      </c>
      <c r="P98" s="145">
        <v>22</v>
      </c>
      <c r="Q98" s="10">
        <v>15</v>
      </c>
      <c r="R98" s="10">
        <v>4</v>
      </c>
      <c r="S98" s="10"/>
      <c r="T98" s="166">
        <v>360</v>
      </c>
      <c r="U98" s="25">
        <v>430</v>
      </c>
      <c r="V98" s="166">
        <v>430</v>
      </c>
      <c r="W98" s="164">
        <f t="shared" si="31"/>
        <v>77.399999999999991</v>
      </c>
      <c r="X98" s="167">
        <f t="shared" si="28"/>
        <v>507.4</v>
      </c>
      <c r="Y98" s="167">
        <f t="shared" si="29"/>
        <v>11162.8</v>
      </c>
      <c r="Z98" s="95">
        <f t="shared" si="26"/>
        <v>0</v>
      </c>
    </row>
    <row r="99" spans="1:26" ht="15.75">
      <c r="A99" s="24" t="s">
        <v>96</v>
      </c>
      <c r="B99" s="9" t="s">
        <v>29</v>
      </c>
      <c r="C99" s="10">
        <v>2</v>
      </c>
      <c r="D99" s="10"/>
      <c r="E99" s="25"/>
      <c r="F99" s="25">
        <f t="shared" si="23"/>
        <v>0</v>
      </c>
      <c r="G99" s="21">
        <v>241.8</v>
      </c>
      <c r="H99" s="21">
        <f t="shared" si="32"/>
        <v>43.524000000000001</v>
      </c>
      <c r="I99" s="21">
        <f t="shared" si="33"/>
        <v>285.32400000000001</v>
      </c>
      <c r="J99" s="133">
        <v>2</v>
      </c>
      <c r="K99" s="21">
        <v>285.32</v>
      </c>
      <c r="L99" s="61">
        <f t="shared" si="22"/>
        <v>570.64</v>
      </c>
      <c r="M99" s="120" t="s">
        <v>96</v>
      </c>
      <c r="N99" s="9" t="s">
        <v>29</v>
      </c>
      <c r="O99" s="9" t="s">
        <v>203</v>
      </c>
      <c r="P99" s="145">
        <v>2</v>
      </c>
      <c r="Q99" s="10"/>
      <c r="R99" s="10"/>
      <c r="S99" s="10"/>
      <c r="T99" s="166">
        <v>241.8</v>
      </c>
      <c r="U99" s="25"/>
      <c r="V99" s="166">
        <v>241.8</v>
      </c>
      <c r="W99" s="164">
        <f t="shared" si="31"/>
        <v>43.524000000000001</v>
      </c>
      <c r="X99" s="166">
        <f t="shared" si="28"/>
        <v>285.32400000000001</v>
      </c>
      <c r="Y99" s="166">
        <f t="shared" si="29"/>
        <v>570.64800000000002</v>
      </c>
      <c r="Z99" s="95">
        <f t="shared" si="26"/>
        <v>-4.0000000000190994E-3</v>
      </c>
    </row>
    <row r="100" spans="1:26" ht="15.75">
      <c r="A100" s="24" t="s">
        <v>95</v>
      </c>
      <c r="B100" s="9" t="s">
        <v>13</v>
      </c>
      <c r="C100" s="10">
        <v>40</v>
      </c>
      <c r="D100" s="10">
        <v>24</v>
      </c>
      <c r="E100" s="25">
        <f>906.24/D100</f>
        <v>37.76</v>
      </c>
      <c r="F100" s="25">
        <f t="shared" si="23"/>
        <v>906.24</v>
      </c>
      <c r="G100" s="21">
        <v>18</v>
      </c>
      <c r="H100" s="21">
        <f t="shared" si="32"/>
        <v>3.2399999999999998</v>
      </c>
      <c r="I100" s="21">
        <f t="shared" si="33"/>
        <v>21.24</v>
      </c>
      <c r="J100" s="133">
        <v>64</v>
      </c>
      <c r="K100" s="21">
        <v>37.76</v>
      </c>
      <c r="L100" s="61">
        <f t="shared" si="22"/>
        <v>2416.64</v>
      </c>
      <c r="M100" s="120" t="s">
        <v>95</v>
      </c>
      <c r="N100" s="9" t="s">
        <v>13</v>
      </c>
      <c r="O100" s="9" t="s">
        <v>203</v>
      </c>
      <c r="P100" s="145">
        <v>64</v>
      </c>
      <c r="Q100" s="10">
        <v>24</v>
      </c>
      <c r="R100" s="10"/>
      <c r="S100" s="10"/>
      <c r="T100" s="166">
        <v>18</v>
      </c>
      <c r="U100" s="25">
        <v>32</v>
      </c>
      <c r="V100" s="166">
        <v>32</v>
      </c>
      <c r="W100" s="164">
        <f t="shared" si="31"/>
        <v>5.76</v>
      </c>
      <c r="X100" s="167">
        <f t="shared" si="28"/>
        <v>37.76</v>
      </c>
      <c r="Y100" s="167">
        <f t="shared" si="29"/>
        <v>2416.64</v>
      </c>
      <c r="Z100" s="95">
        <f t="shared" si="26"/>
        <v>0</v>
      </c>
    </row>
    <row r="101" spans="1:26" ht="15.75">
      <c r="A101" s="24" t="s">
        <v>91</v>
      </c>
      <c r="B101" s="9" t="s">
        <v>11</v>
      </c>
      <c r="C101" s="10">
        <v>33</v>
      </c>
      <c r="D101" s="10"/>
      <c r="E101" s="25"/>
      <c r="F101" s="25">
        <f t="shared" si="23"/>
        <v>0</v>
      </c>
      <c r="G101" s="11">
        <v>1525</v>
      </c>
      <c r="H101" s="11">
        <f t="shared" si="32"/>
        <v>274.5</v>
      </c>
      <c r="I101" s="11">
        <f t="shared" si="33"/>
        <v>1799.5</v>
      </c>
      <c r="J101" s="133">
        <v>346</v>
      </c>
      <c r="K101" s="11">
        <v>149.96</v>
      </c>
      <c r="L101" s="61">
        <f t="shared" si="22"/>
        <v>51886.16</v>
      </c>
      <c r="M101" s="120" t="s">
        <v>91</v>
      </c>
      <c r="N101" s="9" t="s">
        <v>13</v>
      </c>
      <c r="O101" s="9" t="s">
        <v>202</v>
      </c>
      <c r="P101" s="145">
        <v>346</v>
      </c>
      <c r="Q101" s="10"/>
      <c r="R101" s="10">
        <v>13</v>
      </c>
      <c r="S101" s="10"/>
      <c r="T101" s="166">
        <v>1525</v>
      </c>
      <c r="U101" s="10"/>
      <c r="V101" s="166">
        <v>127.08</v>
      </c>
      <c r="W101" s="164">
        <f t="shared" si="31"/>
        <v>22.874399999999998</v>
      </c>
      <c r="X101" s="167">
        <f t="shared" si="28"/>
        <v>149.95439999999999</v>
      </c>
      <c r="Y101" s="167">
        <f t="shared" si="29"/>
        <v>51884.222399999999</v>
      </c>
      <c r="Z101" s="95">
        <f t="shared" si="26"/>
        <v>5.6000000000153705E-3</v>
      </c>
    </row>
    <row r="102" spans="1:26" ht="15.75">
      <c r="A102" s="24" t="s">
        <v>92</v>
      </c>
      <c r="B102" s="9" t="s">
        <v>29</v>
      </c>
      <c r="C102" s="10">
        <v>14</v>
      </c>
      <c r="D102" s="10"/>
      <c r="E102" s="25"/>
      <c r="F102" s="25">
        <f t="shared" si="23"/>
        <v>0</v>
      </c>
      <c r="G102" s="11">
        <v>675</v>
      </c>
      <c r="H102" s="11">
        <f t="shared" si="32"/>
        <v>121.5</v>
      </c>
      <c r="I102" s="11">
        <f t="shared" si="33"/>
        <v>796.5</v>
      </c>
      <c r="J102" s="133">
        <v>88</v>
      </c>
      <c r="K102" s="44">
        <v>796.5</v>
      </c>
      <c r="L102" s="61">
        <f t="shared" si="22"/>
        <v>70092</v>
      </c>
      <c r="M102" s="148" t="s">
        <v>92</v>
      </c>
      <c r="N102" s="9" t="s">
        <v>13</v>
      </c>
      <c r="O102" s="9" t="s">
        <v>202</v>
      </c>
      <c r="P102" s="145">
        <v>88</v>
      </c>
      <c r="Q102" s="10"/>
      <c r="R102" s="10">
        <v>2</v>
      </c>
      <c r="S102" s="10"/>
      <c r="T102" s="166">
        <v>675</v>
      </c>
      <c r="U102" s="10"/>
      <c r="V102" s="166">
        <v>112.5</v>
      </c>
      <c r="W102" s="164">
        <f t="shared" si="31"/>
        <v>20.25</v>
      </c>
      <c r="X102" s="167">
        <f t="shared" si="28"/>
        <v>132.75</v>
      </c>
      <c r="Y102" s="167">
        <f t="shared" si="29"/>
        <v>11682</v>
      </c>
      <c r="Z102" s="95">
        <f t="shared" si="26"/>
        <v>663.75</v>
      </c>
    </row>
    <row r="103" spans="1:26" ht="15.75">
      <c r="A103" s="24" t="s">
        <v>99</v>
      </c>
      <c r="B103" s="9" t="s">
        <v>13</v>
      </c>
      <c r="C103" s="10">
        <v>25</v>
      </c>
      <c r="D103" s="10"/>
      <c r="E103" s="25"/>
      <c r="F103" s="25">
        <f t="shared" si="23"/>
        <v>0</v>
      </c>
      <c r="G103" s="21">
        <v>120</v>
      </c>
      <c r="H103" s="21">
        <f t="shared" si="32"/>
        <v>21.599999999999998</v>
      </c>
      <c r="I103" s="108">
        <f t="shared" si="33"/>
        <v>141.6</v>
      </c>
      <c r="J103" s="133">
        <v>25</v>
      </c>
      <c r="K103" s="98">
        <v>141.6</v>
      </c>
      <c r="L103" s="61">
        <f t="shared" ref="L103:L134" si="34">J103*K103</f>
        <v>3540</v>
      </c>
      <c r="M103" s="120" t="s">
        <v>99</v>
      </c>
      <c r="N103" s="9" t="s">
        <v>13</v>
      </c>
      <c r="O103" s="9" t="s">
        <v>203</v>
      </c>
      <c r="P103" s="145">
        <v>25</v>
      </c>
      <c r="Q103" s="10"/>
      <c r="R103" s="10">
        <v>2</v>
      </c>
      <c r="S103" s="10"/>
      <c r="T103" s="166">
        <v>120</v>
      </c>
      <c r="U103" s="25"/>
      <c r="V103" s="166">
        <v>120</v>
      </c>
      <c r="W103" s="164">
        <f t="shared" si="31"/>
        <v>21.599999999999998</v>
      </c>
      <c r="X103" s="167">
        <f t="shared" si="28"/>
        <v>141.6</v>
      </c>
      <c r="Y103" s="167">
        <f t="shared" si="29"/>
        <v>3540</v>
      </c>
      <c r="Z103" s="95">
        <f t="shared" si="26"/>
        <v>0</v>
      </c>
    </row>
    <row r="104" spans="1:26" ht="15.75">
      <c r="A104" s="24" t="s">
        <v>146</v>
      </c>
      <c r="B104" s="9" t="s">
        <v>31</v>
      </c>
      <c r="C104" s="10">
        <v>4</v>
      </c>
      <c r="D104" s="10"/>
      <c r="E104" s="25"/>
      <c r="F104" s="25">
        <f t="shared" si="23"/>
        <v>0</v>
      </c>
      <c r="G104" s="21">
        <v>785</v>
      </c>
      <c r="H104" s="21">
        <f t="shared" si="32"/>
        <v>141.29999999999998</v>
      </c>
      <c r="I104" s="108">
        <f t="shared" si="33"/>
        <v>926.3</v>
      </c>
      <c r="J104" s="133">
        <v>109</v>
      </c>
      <c r="K104" s="98">
        <v>37.052</v>
      </c>
      <c r="L104" s="61">
        <f t="shared" si="34"/>
        <v>4038.6680000000001</v>
      </c>
      <c r="M104" s="120" t="s">
        <v>146</v>
      </c>
      <c r="N104" s="9" t="s">
        <v>13</v>
      </c>
      <c r="O104" s="9" t="s">
        <v>203</v>
      </c>
      <c r="P104" s="145">
        <v>109</v>
      </c>
      <c r="Q104" s="10"/>
      <c r="R104" s="10"/>
      <c r="S104" s="10"/>
      <c r="T104" s="166">
        <v>785</v>
      </c>
      <c r="U104" s="25"/>
      <c r="V104" s="166">
        <v>31.4</v>
      </c>
      <c r="W104" s="164">
        <f t="shared" si="31"/>
        <v>5.6519999999999992</v>
      </c>
      <c r="X104" s="166">
        <f t="shared" si="28"/>
        <v>37.052</v>
      </c>
      <c r="Y104" s="166">
        <f t="shared" si="29"/>
        <v>4038.6680000000001</v>
      </c>
      <c r="Z104" s="95">
        <f t="shared" si="26"/>
        <v>0</v>
      </c>
    </row>
    <row r="105" spans="1:26" ht="15.75">
      <c r="A105" s="24" t="s">
        <v>98</v>
      </c>
      <c r="B105" s="9" t="s">
        <v>31</v>
      </c>
      <c r="C105" s="10">
        <v>13</v>
      </c>
      <c r="D105" s="10"/>
      <c r="E105" s="25"/>
      <c r="F105" s="25">
        <f t="shared" si="23"/>
        <v>0</v>
      </c>
      <c r="G105" s="21">
        <v>912.34</v>
      </c>
      <c r="H105" s="21">
        <f t="shared" si="32"/>
        <v>164.22120000000001</v>
      </c>
      <c r="I105" s="108">
        <f t="shared" si="33"/>
        <v>1076.5612000000001</v>
      </c>
      <c r="J105" s="133">
        <v>325</v>
      </c>
      <c r="K105" s="98">
        <v>43.058199999999999</v>
      </c>
      <c r="L105" s="61">
        <f t="shared" si="34"/>
        <v>13993.914999999999</v>
      </c>
      <c r="M105" s="120" t="s">
        <v>98</v>
      </c>
      <c r="N105" s="9" t="s">
        <v>13</v>
      </c>
      <c r="O105" s="9" t="s">
        <v>203</v>
      </c>
      <c r="P105" s="145">
        <v>325</v>
      </c>
      <c r="Q105" s="10"/>
      <c r="R105" s="10"/>
      <c r="S105" s="10"/>
      <c r="T105" s="166">
        <v>912.34</v>
      </c>
      <c r="U105" s="25"/>
      <c r="V105" s="166">
        <v>36.49</v>
      </c>
      <c r="W105" s="164">
        <f t="shared" si="31"/>
        <v>6.5682</v>
      </c>
      <c r="X105" s="167">
        <f t="shared" si="28"/>
        <v>43.058199999999999</v>
      </c>
      <c r="Y105" s="167">
        <f t="shared" si="29"/>
        <v>13993.914999999999</v>
      </c>
      <c r="Z105" s="95">
        <f t="shared" si="26"/>
        <v>0</v>
      </c>
    </row>
    <row r="106" spans="1:26" ht="15.75">
      <c r="A106" s="24" t="s">
        <v>93</v>
      </c>
      <c r="B106" s="9" t="s">
        <v>13</v>
      </c>
      <c r="C106" s="10">
        <v>19</v>
      </c>
      <c r="D106" s="10"/>
      <c r="E106" s="25"/>
      <c r="F106" s="25">
        <f t="shared" si="23"/>
        <v>0</v>
      </c>
      <c r="G106" s="21">
        <v>360</v>
      </c>
      <c r="H106" s="21">
        <f t="shared" si="32"/>
        <v>64.8</v>
      </c>
      <c r="I106" s="108">
        <f t="shared" si="33"/>
        <v>424.8</v>
      </c>
      <c r="J106" s="133">
        <v>19</v>
      </c>
      <c r="K106" s="98">
        <v>424.8</v>
      </c>
      <c r="L106" s="61">
        <f t="shared" si="34"/>
        <v>8071.2</v>
      </c>
      <c r="M106" s="120" t="s">
        <v>93</v>
      </c>
      <c r="N106" s="9" t="s">
        <v>13</v>
      </c>
      <c r="O106" s="9" t="s">
        <v>203</v>
      </c>
      <c r="P106" s="145">
        <v>19</v>
      </c>
      <c r="Q106" s="10"/>
      <c r="R106" s="10"/>
      <c r="S106" s="10"/>
      <c r="T106" s="166">
        <v>360</v>
      </c>
      <c r="U106" s="25"/>
      <c r="V106" s="166">
        <v>360</v>
      </c>
      <c r="W106" s="164">
        <f t="shared" si="31"/>
        <v>64.8</v>
      </c>
      <c r="X106" s="167">
        <f t="shared" ref="X106:X122" si="35">W106+V106</f>
        <v>424.8</v>
      </c>
      <c r="Y106" s="167">
        <f t="shared" ref="Y106:Y122" si="36">X106*P106</f>
        <v>8071.2</v>
      </c>
      <c r="Z106" s="95">
        <f t="shared" si="26"/>
        <v>0</v>
      </c>
    </row>
    <row r="107" spans="1:26" ht="15.75">
      <c r="A107" s="24" t="s">
        <v>94</v>
      </c>
      <c r="B107" s="9" t="s">
        <v>13</v>
      </c>
      <c r="C107" s="10">
        <v>7</v>
      </c>
      <c r="D107" s="10">
        <v>15</v>
      </c>
      <c r="E107" s="25">
        <f>7788/15</f>
        <v>519.20000000000005</v>
      </c>
      <c r="F107" s="25">
        <f t="shared" si="23"/>
        <v>7788.0000000000009</v>
      </c>
      <c r="G107" s="21">
        <v>495</v>
      </c>
      <c r="H107" s="21">
        <f t="shared" si="32"/>
        <v>89.1</v>
      </c>
      <c r="I107" s="108">
        <f t="shared" si="33"/>
        <v>584.1</v>
      </c>
      <c r="J107" s="133">
        <v>21</v>
      </c>
      <c r="K107" s="98">
        <v>519.20000000000005</v>
      </c>
      <c r="L107" s="61">
        <f t="shared" si="34"/>
        <v>10903.2</v>
      </c>
      <c r="M107" s="120" t="s">
        <v>94</v>
      </c>
      <c r="N107" s="9" t="s">
        <v>13</v>
      </c>
      <c r="O107" s="9" t="s">
        <v>203</v>
      </c>
      <c r="P107" s="145">
        <v>21</v>
      </c>
      <c r="Q107" s="10">
        <v>15</v>
      </c>
      <c r="R107" s="10"/>
      <c r="S107" s="10"/>
      <c r="T107" s="166">
        <v>495</v>
      </c>
      <c r="U107" s="25">
        <v>440</v>
      </c>
      <c r="V107" s="166">
        <v>440</v>
      </c>
      <c r="W107" s="164">
        <f t="shared" si="31"/>
        <v>79.2</v>
      </c>
      <c r="X107" s="167">
        <f t="shared" si="35"/>
        <v>519.20000000000005</v>
      </c>
      <c r="Y107" s="167">
        <f t="shared" si="36"/>
        <v>10903.2</v>
      </c>
      <c r="Z107" s="95">
        <f t="shared" si="26"/>
        <v>0</v>
      </c>
    </row>
    <row r="108" spans="1:26" ht="15.75">
      <c r="A108" s="137" t="s">
        <v>97</v>
      </c>
      <c r="B108" s="135" t="s">
        <v>29</v>
      </c>
      <c r="C108" s="136"/>
      <c r="D108" s="136">
        <v>12</v>
      </c>
      <c r="E108" s="131">
        <f>23364/D108</f>
        <v>1947</v>
      </c>
      <c r="F108" s="131">
        <f t="shared" si="23"/>
        <v>23364</v>
      </c>
      <c r="G108" s="131"/>
      <c r="H108" s="131"/>
      <c r="I108" s="138"/>
      <c r="J108" s="133">
        <v>1</v>
      </c>
      <c r="K108" s="98">
        <v>1947</v>
      </c>
      <c r="L108" s="61">
        <f t="shared" si="34"/>
        <v>1947</v>
      </c>
      <c r="M108" s="137" t="s">
        <v>97</v>
      </c>
      <c r="N108" s="135" t="s">
        <v>29</v>
      </c>
      <c r="O108" s="135" t="s">
        <v>203</v>
      </c>
      <c r="P108" s="145">
        <v>12</v>
      </c>
      <c r="Q108" s="10">
        <v>12</v>
      </c>
      <c r="R108" s="10"/>
      <c r="S108" s="10"/>
      <c r="T108" s="166">
        <v>0</v>
      </c>
      <c r="U108" s="25">
        <v>1650</v>
      </c>
      <c r="V108" s="166">
        <v>1650</v>
      </c>
      <c r="W108" s="164">
        <f t="shared" si="31"/>
        <v>297</v>
      </c>
      <c r="X108" s="167">
        <f t="shared" si="35"/>
        <v>1947</v>
      </c>
      <c r="Y108" s="167">
        <f t="shared" si="36"/>
        <v>23364</v>
      </c>
      <c r="Z108" s="95">
        <f t="shared" si="26"/>
        <v>0</v>
      </c>
    </row>
    <row r="109" spans="1:26" ht="15.75">
      <c r="A109" s="70" t="s">
        <v>97</v>
      </c>
      <c r="B109" s="38" t="s">
        <v>13</v>
      </c>
      <c r="C109" s="10">
        <v>500</v>
      </c>
      <c r="D109" s="10"/>
      <c r="E109" s="25"/>
      <c r="F109" s="25">
        <f t="shared" si="23"/>
        <v>0</v>
      </c>
      <c r="G109" s="21">
        <v>1.5</v>
      </c>
      <c r="H109" s="21">
        <f>+G109*18%</f>
        <v>0.27</v>
      </c>
      <c r="I109" s="108">
        <f>H109+G109</f>
        <v>1.77</v>
      </c>
      <c r="J109" s="133">
        <v>12</v>
      </c>
      <c r="K109" s="98">
        <v>1.77</v>
      </c>
      <c r="L109" s="61">
        <f t="shared" si="34"/>
        <v>21.240000000000002</v>
      </c>
      <c r="M109" s="137" t="s">
        <v>97</v>
      </c>
      <c r="N109" s="135" t="s">
        <v>13</v>
      </c>
      <c r="O109" s="135" t="s">
        <v>203</v>
      </c>
      <c r="P109" s="136">
        <v>1</v>
      </c>
      <c r="Q109" s="10"/>
      <c r="R109" s="10"/>
      <c r="S109" s="10"/>
      <c r="T109" s="166">
        <v>1.5</v>
      </c>
      <c r="U109" s="25"/>
      <c r="V109" s="166">
        <v>1.5</v>
      </c>
      <c r="W109" s="164">
        <f t="shared" si="31"/>
        <v>0.27</v>
      </c>
      <c r="X109" s="167">
        <f t="shared" si="35"/>
        <v>1.77</v>
      </c>
      <c r="Y109" s="167">
        <f t="shared" si="36"/>
        <v>1.77</v>
      </c>
      <c r="Z109" s="95">
        <f t="shared" si="26"/>
        <v>0</v>
      </c>
    </row>
    <row r="110" spans="1:26" ht="15.75">
      <c r="A110" s="120" t="s">
        <v>198</v>
      </c>
      <c r="B110" s="9"/>
      <c r="C110" s="121"/>
      <c r="D110" s="10"/>
      <c r="E110" s="25"/>
      <c r="F110" s="25"/>
      <c r="G110" s="21"/>
      <c r="H110" s="21"/>
      <c r="I110" s="108"/>
      <c r="J110" s="133">
        <v>2</v>
      </c>
      <c r="K110" s="98">
        <v>1652</v>
      </c>
      <c r="L110" s="61">
        <f t="shared" si="34"/>
        <v>3304</v>
      </c>
      <c r="M110" s="120" t="s">
        <v>198</v>
      </c>
      <c r="N110" s="9" t="s">
        <v>13</v>
      </c>
      <c r="O110" s="9" t="s">
        <v>203</v>
      </c>
      <c r="P110" s="145">
        <v>2</v>
      </c>
      <c r="Q110" s="10"/>
      <c r="R110" s="10"/>
      <c r="S110" s="10"/>
      <c r="T110" s="166"/>
      <c r="U110" s="25"/>
      <c r="V110" s="166">
        <v>1400</v>
      </c>
      <c r="W110" s="164">
        <f t="shared" si="31"/>
        <v>252</v>
      </c>
      <c r="X110" s="167">
        <f t="shared" si="35"/>
        <v>1652</v>
      </c>
      <c r="Y110" s="167">
        <f t="shared" si="36"/>
        <v>3304</v>
      </c>
      <c r="Z110" s="95">
        <f t="shared" si="26"/>
        <v>0</v>
      </c>
    </row>
    <row r="111" spans="1:26" ht="15.75">
      <c r="A111" s="120" t="s">
        <v>187</v>
      </c>
      <c r="B111" s="9" t="s">
        <v>13</v>
      </c>
      <c r="C111" s="122"/>
      <c r="D111" s="10">
        <v>2</v>
      </c>
      <c r="E111" s="25">
        <f>1700/D111</f>
        <v>850</v>
      </c>
      <c r="F111" s="25">
        <f t="shared" ref="F111:F142" si="37">D111*E111</f>
        <v>1700</v>
      </c>
      <c r="G111" s="21"/>
      <c r="H111" s="21"/>
      <c r="I111" s="108"/>
      <c r="J111" s="133">
        <v>2</v>
      </c>
      <c r="K111" s="98">
        <v>850</v>
      </c>
      <c r="L111" s="61">
        <f t="shared" si="34"/>
        <v>1700</v>
      </c>
      <c r="M111" s="120" t="s">
        <v>187</v>
      </c>
      <c r="N111" s="9" t="s">
        <v>13</v>
      </c>
      <c r="O111" s="9" t="s">
        <v>203</v>
      </c>
      <c r="P111" s="145">
        <v>2</v>
      </c>
      <c r="Q111" s="10">
        <v>2</v>
      </c>
      <c r="R111" s="10"/>
      <c r="S111" s="10"/>
      <c r="T111" s="166"/>
      <c r="U111" s="25">
        <v>850</v>
      </c>
      <c r="V111" s="166">
        <v>850</v>
      </c>
      <c r="W111" s="164">
        <f t="shared" si="31"/>
        <v>153</v>
      </c>
      <c r="X111" s="167">
        <f t="shared" si="35"/>
        <v>1003</v>
      </c>
      <c r="Y111" s="167">
        <f t="shared" si="36"/>
        <v>2006</v>
      </c>
      <c r="Z111" s="95">
        <f t="shared" si="26"/>
        <v>-153</v>
      </c>
    </row>
    <row r="112" spans="1:26" ht="15.75">
      <c r="A112" s="120" t="s">
        <v>183</v>
      </c>
      <c r="B112" s="125" t="s">
        <v>13</v>
      </c>
      <c r="C112" s="97"/>
      <c r="D112" s="121">
        <v>2</v>
      </c>
      <c r="E112" s="25">
        <f>5200/D112</f>
        <v>2600</v>
      </c>
      <c r="F112" s="25">
        <f t="shared" si="37"/>
        <v>5200</v>
      </c>
      <c r="G112" s="21"/>
      <c r="H112" s="21"/>
      <c r="I112" s="108"/>
      <c r="J112" s="133">
        <v>2</v>
      </c>
      <c r="K112" s="98">
        <v>2600</v>
      </c>
      <c r="L112" s="61">
        <f t="shared" si="34"/>
        <v>5200</v>
      </c>
      <c r="M112" s="120" t="s">
        <v>183</v>
      </c>
      <c r="N112" s="9" t="s">
        <v>13</v>
      </c>
      <c r="O112" s="9" t="s">
        <v>203</v>
      </c>
      <c r="P112" s="145">
        <v>2</v>
      </c>
      <c r="Q112" s="10">
        <v>2</v>
      </c>
      <c r="R112" s="10"/>
      <c r="S112" s="10"/>
      <c r="T112" s="166"/>
      <c r="U112" s="25">
        <v>2600</v>
      </c>
      <c r="V112" s="166">
        <v>2600</v>
      </c>
      <c r="W112" s="164">
        <f t="shared" si="31"/>
        <v>468</v>
      </c>
      <c r="X112" s="167">
        <f t="shared" si="35"/>
        <v>3068</v>
      </c>
      <c r="Y112" s="167">
        <f t="shared" si="36"/>
        <v>6136</v>
      </c>
      <c r="Z112" s="95">
        <f t="shared" si="26"/>
        <v>-468</v>
      </c>
    </row>
    <row r="113" spans="1:26" ht="15.75">
      <c r="A113" s="24" t="s">
        <v>145</v>
      </c>
      <c r="B113" s="96" t="s">
        <v>29</v>
      </c>
      <c r="C113" s="139">
        <v>4</v>
      </c>
      <c r="D113" s="10"/>
      <c r="E113" s="25"/>
      <c r="F113" s="25">
        <f t="shared" si="37"/>
        <v>0</v>
      </c>
      <c r="G113" s="21">
        <v>260</v>
      </c>
      <c r="H113" s="21">
        <f>+G113*18%</f>
        <v>46.8</v>
      </c>
      <c r="I113" s="108">
        <f>H113+G113</f>
        <v>306.8</v>
      </c>
      <c r="J113" s="133">
        <v>74</v>
      </c>
      <c r="K113" s="98">
        <v>12.78</v>
      </c>
      <c r="L113" s="61">
        <f t="shared" si="34"/>
        <v>945.71999999999991</v>
      </c>
      <c r="M113" s="120" t="s">
        <v>220</v>
      </c>
      <c r="N113" s="9" t="s">
        <v>29</v>
      </c>
      <c r="O113" s="9" t="s">
        <v>203</v>
      </c>
      <c r="P113" s="145">
        <v>74</v>
      </c>
      <c r="Q113" s="10"/>
      <c r="R113" s="10">
        <v>8</v>
      </c>
      <c r="S113" s="10"/>
      <c r="T113" s="166">
        <v>260</v>
      </c>
      <c r="U113" s="25"/>
      <c r="V113" s="166">
        <v>260</v>
      </c>
      <c r="W113" s="164">
        <f t="shared" si="31"/>
        <v>46.8</v>
      </c>
      <c r="X113" s="167">
        <f t="shared" si="35"/>
        <v>306.8</v>
      </c>
      <c r="Y113" s="167">
        <f t="shared" si="36"/>
        <v>22703.200000000001</v>
      </c>
      <c r="Z113" s="95">
        <f t="shared" si="26"/>
        <v>-294.02000000000004</v>
      </c>
    </row>
    <row r="114" spans="1:26" ht="15.75">
      <c r="A114" s="24" t="s">
        <v>102</v>
      </c>
      <c r="B114" s="96" t="s">
        <v>13</v>
      </c>
      <c r="C114" s="121">
        <v>20</v>
      </c>
      <c r="D114" s="10"/>
      <c r="E114" s="25"/>
      <c r="F114" s="25">
        <f t="shared" si="37"/>
        <v>0</v>
      </c>
      <c r="G114" s="21">
        <v>84</v>
      </c>
      <c r="H114" s="21">
        <f>+G114*18%</f>
        <v>15.12</v>
      </c>
      <c r="I114" s="106">
        <f>H114+G114</f>
        <v>99.12</v>
      </c>
      <c r="J114" s="133">
        <v>7</v>
      </c>
      <c r="K114" s="98">
        <v>99.1</v>
      </c>
      <c r="L114" s="61">
        <f t="shared" si="34"/>
        <v>693.69999999999993</v>
      </c>
      <c r="M114" s="120" t="s">
        <v>222</v>
      </c>
      <c r="N114" s="9" t="s">
        <v>13</v>
      </c>
      <c r="O114" s="9" t="s">
        <v>203</v>
      </c>
      <c r="P114" s="145">
        <v>7</v>
      </c>
      <c r="Q114" s="10"/>
      <c r="R114" s="10">
        <v>1</v>
      </c>
      <c r="S114" s="10"/>
      <c r="T114" s="166">
        <v>84</v>
      </c>
      <c r="U114" s="25"/>
      <c r="V114" s="166">
        <v>84</v>
      </c>
      <c r="W114" s="164">
        <f t="shared" si="31"/>
        <v>15.12</v>
      </c>
      <c r="X114" s="167">
        <f t="shared" si="35"/>
        <v>99.12</v>
      </c>
      <c r="Y114" s="167">
        <f t="shared" si="36"/>
        <v>693.84</v>
      </c>
      <c r="Z114" s="95">
        <f t="shared" si="26"/>
        <v>-2.0000000000010232E-2</v>
      </c>
    </row>
    <row r="115" spans="1:26" ht="15.75">
      <c r="A115" s="24" t="s">
        <v>103</v>
      </c>
      <c r="B115" s="96" t="s">
        <v>29</v>
      </c>
      <c r="C115" s="122">
        <v>7</v>
      </c>
      <c r="D115" s="39"/>
      <c r="E115" s="114"/>
      <c r="F115" s="25">
        <f t="shared" si="37"/>
        <v>0</v>
      </c>
      <c r="G115" s="40">
        <v>50</v>
      </c>
      <c r="H115" s="106">
        <f>+G115*18%</f>
        <v>9</v>
      </c>
      <c r="I115" s="109">
        <f>H115+G115</f>
        <v>59</v>
      </c>
      <c r="J115" s="133">
        <v>7</v>
      </c>
      <c r="K115" s="98">
        <v>59</v>
      </c>
      <c r="L115" s="61">
        <f t="shared" si="34"/>
        <v>413</v>
      </c>
      <c r="M115" s="120" t="s">
        <v>103</v>
      </c>
      <c r="N115" s="9" t="s">
        <v>29</v>
      </c>
      <c r="O115" s="9" t="s">
        <v>203</v>
      </c>
      <c r="P115" s="145">
        <v>7</v>
      </c>
      <c r="Q115" s="10"/>
      <c r="R115" s="10"/>
      <c r="S115" s="10"/>
      <c r="T115" s="166">
        <v>50</v>
      </c>
      <c r="U115" s="25"/>
      <c r="V115" s="166">
        <v>50</v>
      </c>
      <c r="W115" s="164">
        <f t="shared" si="31"/>
        <v>9</v>
      </c>
      <c r="X115" s="167">
        <f t="shared" si="35"/>
        <v>59</v>
      </c>
      <c r="Y115" s="167">
        <f t="shared" si="36"/>
        <v>413</v>
      </c>
      <c r="Z115" s="95">
        <f t="shared" si="26"/>
        <v>0</v>
      </c>
    </row>
    <row r="116" spans="1:26" ht="15.75">
      <c r="A116" s="24" t="s">
        <v>100</v>
      </c>
      <c r="B116" s="96" t="s">
        <v>29</v>
      </c>
      <c r="C116" s="121">
        <v>2</v>
      </c>
      <c r="D116" s="10">
        <v>60</v>
      </c>
      <c r="E116" s="25">
        <f>2265.6/D116</f>
        <v>37.76</v>
      </c>
      <c r="F116" s="25">
        <f t="shared" si="37"/>
        <v>2265.6</v>
      </c>
      <c r="G116" s="21">
        <v>282</v>
      </c>
      <c r="H116" s="21">
        <f>+G116*18%</f>
        <v>50.76</v>
      </c>
      <c r="I116" s="21">
        <f>H116+G116</f>
        <v>332.76</v>
      </c>
      <c r="J116" s="133">
        <v>54</v>
      </c>
      <c r="K116" s="22">
        <v>37.76</v>
      </c>
      <c r="L116" s="61">
        <f t="shared" si="34"/>
        <v>2039.04</v>
      </c>
      <c r="M116" s="137" t="s">
        <v>221</v>
      </c>
      <c r="N116" s="135" t="s">
        <v>13</v>
      </c>
      <c r="O116" s="135" t="s">
        <v>203</v>
      </c>
      <c r="P116" s="145">
        <v>54</v>
      </c>
      <c r="Q116" s="136">
        <v>60</v>
      </c>
      <c r="R116" s="136">
        <v>10</v>
      </c>
      <c r="S116" s="136"/>
      <c r="T116" s="168">
        <v>282</v>
      </c>
      <c r="U116" s="131">
        <v>32</v>
      </c>
      <c r="V116" s="168">
        <v>32</v>
      </c>
      <c r="W116" s="171">
        <f t="shared" si="31"/>
        <v>5.76</v>
      </c>
      <c r="X116" s="172">
        <f t="shared" si="35"/>
        <v>37.76</v>
      </c>
      <c r="Y116" s="172">
        <f t="shared" si="36"/>
        <v>2039.04</v>
      </c>
      <c r="Z116" s="95">
        <f t="shared" si="26"/>
        <v>0</v>
      </c>
    </row>
    <row r="117" spans="1:26" ht="15.75">
      <c r="A117" s="52" t="s">
        <v>154</v>
      </c>
      <c r="B117" s="20" t="s">
        <v>13</v>
      </c>
      <c r="C117" s="10">
        <v>20</v>
      </c>
      <c r="D117" s="10"/>
      <c r="E117" s="25"/>
      <c r="F117" s="25">
        <f t="shared" si="37"/>
        <v>0</v>
      </c>
      <c r="G117" s="21">
        <v>17.63</v>
      </c>
      <c r="H117" s="21">
        <f>+G117*18%</f>
        <v>3.1733999999999996</v>
      </c>
      <c r="I117" s="21">
        <f>H117+G117</f>
        <v>20.8034</v>
      </c>
      <c r="J117" s="133">
        <v>20</v>
      </c>
      <c r="K117" s="21">
        <v>20.8</v>
      </c>
      <c r="L117" s="61">
        <f t="shared" si="34"/>
        <v>416</v>
      </c>
      <c r="M117" s="120" t="s">
        <v>154</v>
      </c>
      <c r="N117" s="9" t="s">
        <v>13</v>
      </c>
      <c r="O117" s="9" t="s">
        <v>203</v>
      </c>
      <c r="P117" s="145">
        <v>20</v>
      </c>
      <c r="Q117" s="10"/>
      <c r="R117" s="10"/>
      <c r="S117" s="10"/>
      <c r="T117" s="166">
        <v>17.63</v>
      </c>
      <c r="U117" s="25"/>
      <c r="V117" s="166">
        <v>17.63</v>
      </c>
      <c r="W117" s="164">
        <f t="shared" si="31"/>
        <v>3.1733999999999996</v>
      </c>
      <c r="X117" s="167">
        <f t="shared" si="35"/>
        <v>20.8034</v>
      </c>
      <c r="Y117" s="167">
        <f t="shared" si="36"/>
        <v>416.06799999999998</v>
      </c>
      <c r="Z117" s="95">
        <f t="shared" si="26"/>
        <v>-3.3999999999991815E-3</v>
      </c>
    </row>
    <row r="118" spans="1:26" ht="15.75">
      <c r="A118" s="120" t="s">
        <v>184</v>
      </c>
      <c r="B118" s="9" t="s">
        <v>13</v>
      </c>
      <c r="C118" s="10"/>
      <c r="D118" s="10">
        <v>3</v>
      </c>
      <c r="E118" s="25">
        <f>6195/D118</f>
        <v>2065</v>
      </c>
      <c r="F118" s="25">
        <f t="shared" si="37"/>
        <v>6195</v>
      </c>
      <c r="G118" s="21"/>
      <c r="H118" s="21"/>
      <c r="I118" s="21"/>
      <c r="J118" s="133">
        <v>3</v>
      </c>
      <c r="K118" s="21">
        <v>2065</v>
      </c>
      <c r="L118" s="61">
        <f t="shared" si="34"/>
        <v>6195</v>
      </c>
      <c r="M118" s="120" t="s">
        <v>184</v>
      </c>
      <c r="N118" s="9" t="s">
        <v>13</v>
      </c>
      <c r="O118" s="9" t="s">
        <v>203</v>
      </c>
      <c r="P118" s="145">
        <v>3</v>
      </c>
      <c r="Q118" s="10">
        <v>3</v>
      </c>
      <c r="R118" s="10"/>
      <c r="S118" s="10"/>
      <c r="T118" s="166">
        <v>1750</v>
      </c>
      <c r="U118" s="25">
        <v>1750</v>
      </c>
      <c r="V118" s="166">
        <v>1750</v>
      </c>
      <c r="W118" s="164">
        <f t="shared" si="31"/>
        <v>315</v>
      </c>
      <c r="X118" s="167">
        <f t="shared" si="35"/>
        <v>2065</v>
      </c>
      <c r="Y118" s="167">
        <f t="shared" si="36"/>
        <v>6195</v>
      </c>
      <c r="Z118" s="95">
        <f t="shared" si="26"/>
        <v>0</v>
      </c>
    </row>
    <row r="119" spans="1:26" ht="15.75">
      <c r="A119" s="52" t="s">
        <v>105</v>
      </c>
      <c r="B119" s="9" t="s">
        <v>13</v>
      </c>
      <c r="C119" s="10">
        <v>24</v>
      </c>
      <c r="D119" s="10">
        <v>20</v>
      </c>
      <c r="E119" s="25">
        <f>1534/D119</f>
        <v>76.7</v>
      </c>
      <c r="F119" s="25">
        <f t="shared" si="37"/>
        <v>1534</v>
      </c>
      <c r="G119" s="21">
        <v>34.020000000000003</v>
      </c>
      <c r="H119" s="21">
        <f t="shared" ref="H119:H130" si="38">+G119*18%</f>
        <v>6.1236000000000006</v>
      </c>
      <c r="I119" s="21">
        <f t="shared" ref="I119:I130" si="39">H119+G119</f>
        <v>40.143600000000006</v>
      </c>
      <c r="J119" s="133">
        <v>30</v>
      </c>
      <c r="K119" s="21">
        <v>76.7</v>
      </c>
      <c r="L119" s="61">
        <f t="shared" si="34"/>
        <v>2301</v>
      </c>
      <c r="M119" s="137" t="s">
        <v>105</v>
      </c>
      <c r="N119" s="135" t="s">
        <v>13</v>
      </c>
      <c r="O119" s="135" t="s">
        <v>203</v>
      </c>
      <c r="P119" s="145">
        <v>30</v>
      </c>
      <c r="Q119" s="136">
        <v>20</v>
      </c>
      <c r="R119" s="136"/>
      <c r="S119" s="136"/>
      <c r="T119" s="168">
        <v>34.020000000000003</v>
      </c>
      <c r="U119" s="131">
        <v>65</v>
      </c>
      <c r="V119" s="168">
        <v>34.020000000000003</v>
      </c>
      <c r="W119" s="171">
        <f t="shared" si="31"/>
        <v>6.1236000000000006</v>
      </c>
      <c r="X119" s="172">
        <f t="shared" si="35"/>
        <v>40.143600000000006</v>
      </c>
      <c r="Y119" s="172">
        <f t="shared" si="36"/>
        <v>1204.3080000000002</v>
      </c>
      <c r="Z119" s="95">
        <f t="shared" si="26"/>
        <v>36.556399999999996</v>
      </c>
    </row>
    <row r="120" spans="1:26" ht="15.75">
      <c r="A120" s="24" t="s">
        <v>107</v>
      </c>
      <c r="B120" s="9" t="s">
        <v>31</v>
      </c>
      <c r="C120" s="10">
        <v>8</v>
      </c>
      <c r="D120" s="10">
        <v>24</v>
      </c>
      <c r="E120" s="25">
        <f>424.8/D120</f>
        <v>17.7</v>
      </c>
      <c r="F120" s="25">
        <f t="shared" si="37"/>
        <v>424.79999999999995</v>
      </c>
      <c r="G120" s="21">
        <v>156</v>
      </c>
      <c r="H120" s="21">
        <f t="shared" si="38"/>
        <v>28.08</v>
      </c>
      <c r="I120" s="21">
        <f t="shared" si="39"/>
        <v>184.07999999999998</v>
      </c>
      <c r="J120" s="133">
        <v>108</v>
      </c>
      <c r="K120" s="21">
        <v>17.7</v>
      </c>
      <c r="L120" s="61">
        <f t="shared" si="34"/>
        <v>1911.6</v>
      </c>
      <c r="M120" s="137" t="s">
        <v>223</v>
      </c>
      <c r="N120" s="135" t="s">
        <v>13</v>
      </c>
      <c r="O120" s="135" t="s">
        <v>203</v>
      </c>
      <c r="P120" s="145">
        <v>108</v>
      </c>
      <c r="Q120" s="136">
        <v>24</v>
      </c>
      <c r="R120" s="136"/>
      <c r="S120" s="136"/>
      <c r="T120" s="168">
        <v>156</v>
      </c>
      <c r="U120" s="131">
        <v>15</v>
      </c>
      <c r="V120" s="168">
        <v>12.75</v>
      </c>
      <c r="W120" s="171">
        <f t="shared" si="31"/>
        <v>2.2949999999999999</v>
      </c>
      <c r="X120" s="172">
        <f t="shared" si="35"/>
        <v>15.045</v>
      </c>
      <c r="Y120" s="172">
        <f t="shared" si="36"/>
        <v>1624.86</v>
      </c>
      <c r="Z120" s="95">
        <f t="shared" si="26"/>
        <v>2.6549999999999994</v>
      </c>
    </row>
    <row r="121" spans="1:26" ht="15.75">
      <c r="A121" s="24" t="s">
        <v>106</v>
      </c>
      <c r="B121" s="9" t="s">
        <v>13</v>
      </c>
      <c r="C121" s="10">
        <v>60</v>
      </c>
      <c r="D121" s="10"/>
      <c r="E121" s="25"/>
      <c r="F121" s="25">
        <f t="shared" si="37"/>
        <v>0</v>
      </c>
      <c r="G121" s="21">
        <v>7</v>
      </c>
      <c r="H121" s="21">
        <f t="shared" si="38"/>
        <v>1.26</v>
      </c>
      <c r="I121" s="21">
        <f t="shared" si="39"/>
        <v>8.26</v>
      </c>
      <c r="J121" s="133">
        <v>61</v>
      </c>
      <c r="K121" s="21">
        <v>8.26</v>
      </c>
      <c r="L121" s="61">
        <f t="shared" si="34"/>
        <v>503.86</v>
      </c>
      <c r="M121" s="120" t="s">
        <v>106</v>
      </c>
      <c r="N121" s="9" t="s">
        <v>13</v>
      </c>
      <c r="O121" s="9" t="s">
        <v>203</v>
      </c>
      <c r="P121" s="145">
        <v>61</v>
      </c>
      <c r="Q121" s="10"/>
      <c r="R121" s="10">
        <v>12</v>
      </c>
      <c r="S121" s="10"/>
      <c r="T121" s="166">
        <v>7</v>
      </c>
      <c r="U121" s="25"/>
      <c r="V121" s="166">
        <v>7</v>
      </c>
      <c r="W121" s="164">
        <f t="shared" si="31"/>
        <v>1.26</v>
      </c>
      <c r="X121" s="167">
        <f t="shared" si="35"/>
        <v>8.26</v>
      </c>
      <c r="Y121" s="167">
        <f t="shared" si="36"/>
        <v>503.86</v>
      </c>
      <c r="Z121" s="95">
        <f t="shared" si="26"/>
        <v>0</v>
      </c>
    </row>
    <row r="122" spans="1:26" ht="15.75">
      <c r="A122" s="24" t="s">
        <v>108</v>
      </c>
      <c r="B122" s="9" t="s">
        <v>13</v>
      </c>
      <c r="C122" s="10">
        <v>107</v>
      </c>
      <c r="D122" s="10"/>
      <c r="E122" s="25"/>
      <c r="F122" s="25">
        <f t="shared" si="37"/>
        <v>0</v>
      </c>
      <c r="G122" s="21">
        <v>68.180000000000007</v>
      </c>
      <c r="H122" s="21">
        <f t="shared" si="38"/>
        <v>12.272400000000001</v>
      </c>
      <c r="I122" s="21">
        <f t="shared" si="39"/>
        <v>80.452400000000011</v>
      </c>
      <c r="J122" s="133">
        <v>201</v>
      </c>
      <c r="K122" s="21">
        <v>80.45</v>
      </c>
      <c r="L122" s="61">
        <f t="shared" si="34"/>
        <v>16170.45</v>
      </c>
      <c r="M122" s="120" t="s">
        <v>224</v>
      </c>
      <c r="N122" s="9" t="s">
        <v>13</v>
      </c>
      <c r="O122" s="9" t="s">
        <v>203</v>
      </c>
      <c r="P122" s="145">
        <v>201</v>
      </c>
      <c r="Q122" s="10"/>
      <c r="R122" s="10">
        <v>2</v>
      </c>
      <c r="S122" s="10"/>
      <c r="T122" s="166">
        <v>68.180000000000007</v>
      </c>
      <c r="U122" s="25"/>
      <c r="V122" s="166">
        <v>68.180000000000007</v>
      </c>
      <c r="W122" s="164">
        <f t="shared" si="31"/>
        <v>12.272400000000001</v>
      </c>
      <c r="X122" s="167">
        <f t="shared" si="35"/>
        <v>80.452400000000011</v>
      </c>
      <c r="Y122" s="167">
        <f t="shared" si="36"/>
        <v>16170.932400000002</v>
      </c>
      <c r="Z122" s="95">
        <f t="shared" si="26"/>
        <v>-2.4000000000086175E-3</v>
      </c>
    </row>
    <row r="123" spans="1:26" ht="15.75">
      <c r="A123" s="24" t="s">
        <v>109</v>
      </c>
      <c r="B123" s="9" t="s">
        <v>29</v>
      </c>
      <c r="C123" s="10">
        <v>3</v>
      </c>
      <c r="D123" s="10"/>
      <c r="E123" s="25"/>
      <c r="F123" s="25">
        <f t="shared" si="37"/>
        <v>0</v>
      </c>
      <c r="G123" s="21">
        <v>54.75</v>
      </c>
      <c r="H123" s="21">
        <f t="shared" si="38"/>
        <v>9.8550000000000004</v>
      </c>
      <c r="I123" s="21">
        <f t="shared" si="39"/>
        <v>64.605000000000004</v>
      </c>
      <c r="J123" s="102"/>
      <c r="K123" s="21"/>
      <c r="L123" s="61">
        <f t="shared" si="34"/>
        <v>0</v>
      </c>
      <c r="M123" s="120"/>
      <c r="N123" s="9"/>
      <c r="O123" s="9"/>
      <c r="P123" s="145"/>
      <c r="Q123" s="10"/>
      <c r="R123" s="10"/>
      <c r="S123" s="10"/>
      <c r="T123" s="166"/>
      <c r="U123" s="25"/>
      <c r="V123" s="166"/>
      <c r="W123" s="164"/>
      <c r="X123" s="167"/>
      <c r="Y123" s="167"/>
      <c r="Z123" s="95">
        <f t="shared" si="26"/>
        <v>0</v>
      </c>
    </row>
    <row r="124" spans="1:26" ht="15.75">
      <c r="A124" s="24" t="s">
        <v>111</v>
      </c>
      <c r="B124" s="9" t="s">
        <v>29</v>
      </c>
      <c r="C124" s="30">
        <v>20</v>
      </c>
      <c r="D124" s="30"/>
      <c r="E124" s="116"/>
      <c r="F124" s="25">
        <f t="shared" si="37"/>
        <v>0</v>
      </c>
      <c r="G124" s="11">
        <v>1150</v>
      </c>
      <c r="H124" s="11">
        <f t="shared" si="38"/>
        <v>207</v>
      </c>
      <c r="I124" s="11">
        <f t="shared" si="39"/>
        <v>1357</v>
      </c>
      <c r="J124" s="133">
        <v>227</v>
      </c>
      <c r="K124" s="11">
        <v>1357</v>
      </c>
      <c r="L124" s="61">
        <f t="shared" si="34"/>
        <v>308039</v>
      </c>
      <c r="M124" s="120" t="s">
        <v>111</v>
      </c>
      <c r="N124" s="9" t="s">
        <v>13</v>
      </c>
      <c r="O124" s="9" t="s">
        <v>202</v>
      </c>
      <c r="P124" s="145">
        <v>227</v>
      </c>
      <c r="Q124" s="30"/>
      <c r="R124" s="30">
        <v>6</v>
      </c>
      <c r="S124" s="30"/>
      <c r="T124" s="166">
        <v>1150</v>
      </c>
      <c r="U124" s="30"/>
      <c r="V124" s="166">
        <v>230</v>
      </c>
      <c r="W124" s="164">
        <f>V124*18%</f>
        <v>41.4</v>
      </c>
      <c r="X124" s="166">
        <f>W124+V124</f>
        <v>271.39999999999998</v>
      </c>
      <c r="Y124" s="166">
        <f>X124*P124</f>
        <v>61607.799999999996</v>
      </c>
      <c r="Z124" s="95">
        <f t="shared" si="26"/>
        <v>1085.5999999999999</v>
      </c>
    </row>
    <row r="125" spans="1:26" ht="15.75">
      <c r="A125" s="24" t="s">
        <v>113</v>
      </c>
      <c r="B125" s="9" t="s">
        <v>29</v>
      </c>
      <c r="C125" s="30">
        <v>4</v>
      </c>
      <c r="D125" s="30"/>
      <c r="E125" s="116"/>
      <c r="F125" s="25">
        <f t="shared" si="37"/>
        <v>0</v>
      </c>
      <c r="G125" s="11">
        <v>125</v>
      </c>
      <c r="H125" s="11">
        <f t="shared" si="38"/>
        <v>22.5</v>
      </c>
      <c r="I125" s="11">
        <f t="shared" si="39"/>
        <v>147.5</v>
      </c>
      <c r="J125" s="133">
        <v>100</v>
      </c>
      <c r="K125" s="11">
        <v>147.5</v>
      </c>
      <c r="L125" s="61">
        <f t="shared" si="34"/>
        <v>14750</v>
      </c>
      <c r="M125" s="120" t="s">
        <v>113</v>
      </c>
      <c r="N125" s="9" t="s">
        <v>29</v>
      </c>
      <c r="O125" s="9" t="s">
        <v>202</v>
      </c>
      <c r="P125" s="145">
        <v>100</v>
      </c>
      <c r="Q125" s="30"/>
      <c r="R125" s="30">
        <v>4</v>
      </c>
      <c r="S125" s="30"/>
      <c r="T125" s="166">
        <v>125</v>
      </c>
      <c r="U125" s="30"/>
      <c r="V125" s="166">
        <v>125</v>
      </c>
      <c r="W125" s="164">
        <f>V125*18%</f>
        <v>22.5</v>
      </c>
      <c r="X125" s="166">
        <f>W125+V125</f>
        <v>147.5</v>
      </c>
      <c r="Y125" s="166">
        <f>X125*P125</f>
        <v>14750</v>
      </c>
      <c r="Z125" s="95">
        <f t="shared" si="26"/>
        <v>0</v>
      </c>
    </row>
    <row r="126" spans="1:26" ht="15.75">
      <c r="A126" s="24" t="s">
        <v>115</v>
      </c>
      <c r="B126" s="9" t="s">
        <v>13</v>
      </c>
      <c r="C126" s="69">
        <v>1916</v>
      </c>
      <c r="D126" s="69"/>
      <c r="E126" s="25"/>
      <c r="F126" s="25">
        <f t="shared" si="37"/>
        <v>0</v>
      </c>
      <c r="G126" s="21">
        <v>1.75</v>
      </c>
      <c r="H126" s="21">
        <f t="shared" si="38"/>
        <v>0.315</v>
      </c>
      <c r="I126" s="21">
        <f t="shared" si="39"/>
        <v>2.0649999999999999</v>
      </c>
      <c r="J126" s="133">
        <v>1916</v>
      </c>
      <c r="K126" s="21">
        <v>2.0699999999999998</v>
      </c>
      <c r="L126" s="61">
        <f t="shared" si="34"/>
        <v>3966.12</v>
      </c>
      <c r="M126" s="120" t="s">
        <v>115</v>
      </c>
      <c r="N126" s="9" t="s">
        <v>13</v>
      </c>
      <c r="O126" s="9" t="s">
        <v>203</v>
      </c>
      <c r="P126" s="149">
        <v>1916</v>
      </c>
      <c r="Q126" s="69"/>
      <c r="R126" s="69"/>
      <c r="S126" s="69"/>
      <c r="T126" s="166">
        <v>1.75</v>
      </c>
      <c r="U126" s="25"/>
      <c r="V126" s="166">
        <v>1.75</v>
      </c>
      <c r="W126" s="164">
        <f>V126*18%</f>
        <v>0.315</v>
      </c>
      <c r="X126" s="167">
        <f>W126+V126</f>
        <v>2.0649999999999999</v>
      </c>
      <c r="Y126" s="167">
        <f>X126*P126</f>
        <v>3956.54</v>
      </c>
      <c r="Z126" s="95">
        <f t="shared" si="26"/>
        <v>4.9999999999998934E-3</v>
      </c>
    </row>
    <row r="127" spans="1:26" ht="15.75">
      <c r="A127" s="24" t="s">
        <v>114</v>
      </c>
      <c r="B127" s="9" t="s">
        <v>13</v>
      </c>
      <c r="C127" s="10">
        <v>300</v>
      </c>
      <c r="D127" s="10"/>
      <c r="E127" s="25"/>
      <c r="F127" s="25">
        <f t="shared" si="37"/>
        <v>0</v>
      </c>
      <c r="G127" s="21">
        <v>1.7</v>
      </c>
      <c r="H127" s="21">
        <f t="shared" si="38"/>
        <v>0.30599999999999999</v>
      </c>
      <c r="I127" s="21">
        <f t="shared" si="39"/>
        <v>2.0059999999999998</v>
      </c>
      <c r="J127" s="102"/>
      <c r="K127" s="21"/>
      <c r="L127" s="61">
        <f t="shared" si="34"/>
        <v>0</v>
      </c>
      <c r="M127" s="120"/>
      <c r="N127" s="9"/>
      <c r="O127" s="9"/>
      <c r="P127" s="149"/>
      <c r="Q127" s="69"/>
      <c r="R127" s="69"/>
      <c r="S127" s="69"/>
      <c r="T127" s="166"/>
      <c r="U127" s="25"/>
      <c r="V127" s="166"/>
      <c r="W127" s="164"/>
      <c r="X127" s="167"/>
      <c r="Y127" s="167"/>
      <c r="Z127" s="95">
        <f t="shared" si="26"/>
        <v>0</v>
      </c>
    </row>
    <row r="128" spans="1:26" ht="15.75">
      <c r="A128" s="24" t="s">
        <v>117</v>
      </c>
      <c r="B128" s="9" t="s">
        <v>13</v>
      </c>
      <c r="C128" s="10">
        <v>750</v>
      </c>
      <c r="D128" s="10"/>
      <c r="E128" s="25"/>
      <c r="F128" s="25">
        <f t="shared" si="37"/>
        <v>0</v>
      </c>
      <c r="G128" s="21">
        <v>6.3</v>
      </c>
      <c r="H128" s="21">
        <f t="shared" si="38"/>
        <v>1.1339999999999999</v>
      </c>
      <c r="I128" s="21">
        <f t="shared" si="39"/>
        <v>7.4339999999999993</v>
      </c>
      <c r="J128" s="133">
        <v>965</v>
      </c>
      <c r="K128" s="21">
        <v>7.43</v>
      </c>
      <c r="L128" s="61">
        <f t="shared" si="34"/>
        <v>7169.95</v>
      </c>
      <c r="M128" s="120" t="s">
        <v>117</v>
      </c>
      <c r="N128" s="9" t="s">
        <v>13</v>
      </c>
      <c r="O128" s="9" t="s">
        <v>203</v>
      </c>
      <c r="P128" s="145">
        <v>965</v>
      </c>
      <c r="Q128" s="10"/>
      <c r="R128" s="10"/>
      <c r="S128" s="10"/>
      <c r="T128" s="166">
        <v>6.3</v>
      </c>
      <c r="U128" s="25"/>
      <c r="V128" s="166">
        <v>6.3</v>
      </c>
      <c r="W128" s="164">
        <f t="shared" ref="W128:W159" si="40">V128*18%</f>
        <v>1.1339999999999999</v>
      </c>
      <c r="X128" s="167">
        <f t="shared" ref="X128:X159" si="41">W128+V128</f>
        <v>7.4339999999999993</v>
      </c>
      <c r="Y128" s="167">
        <f t="shared" ref="Y128:Y159" si="42">X128*P128</f>
        <v>7173.8099999999995</v>
      </c>
      <c r="Z128" s="95">
        <f t="shared" si="26"/>
        <v>-3.9999999999995595E-3</v>
      </c>
    </row>
    <row r="129" spans="1:26" ht="15.75">
      <c r="A129" s="24" t="s">
        <v>118</v>
      </c>
      <c r="B129" s="9" t="s">
        <v>13</v>
      </c>
      <c r="C129" s="10">
        <v>456</v>
      </c>
      <c r="D129" s="10"/>
      <c r="E129" s="25"/>
      <c r="F129" s="25">
        <f t="shared" si="37"/>
        <v>0</v>
      </c>
      <c r="G129" s="21">
        <v>6.52</v>
      </c>
      <c r="H129" s="21">
        <f t="shared" si="38"/>
        <v>1.1736</v>
      </c>
      <c r="I129" s="21">
        <f t="shared" si="39"/>
        <v>7.6936</v>
      </c>
      <c r="J129" s="133">
        <v>750</v>
      </c>
      <c r="K129" s="21">
        <v>7.69</v>
      </c>
      <c r="L129" s="61">
        <f t="shared" si="34"/>
        <v>5767.5</v>
      </c>
      <c r="M129" s="120" t="s">
        <v>118</v>
      </c>
      <c r="N129" s="9" t="s">
        <v>13</v>
      </c>
      <c r="O129" s="9" t="s">
        <v>203</v>
      </c>
      <c r="P129" s="145">
        <v>750</v>
      </c>
      <c r="Q129" s="10"/>
      <c r="R129" s="10"/>
      <c r="S129" s="10"/>
      <c r="T129" s="166">
        <v>6.52</v>
      </c>
      <c r="U129" s="25"/>
      <c r="V129" s="166">
        <v>6.52</v>
      </c>
      <c r="W129" s="164">
        <f t="shared" si="40"/>
        <v>1.1736</v>
      </c>
      <c r="X129" s="167">
        <f t="shared" si="41"/>
        <v>7.6936</v>
      </c>
      <c r="Y129" s="167">
        <f t="shared" si="42"/>
        <v>5770.2</v>
      </c>
      <c r="Z129" s="95">
        <f t="shared" si="26"/>
        <v>-3.5999999999996035E-3</v>
      </c>
    </row>
    <row r="130" spans="1:26" ht="15.75">
      <c r="A130" s="24" t="s">
        <v>119</v>
      </c>
      <c r="B130" s="9" t="s">
        <v>13</v>
      </c>
      <c r="C130" s="10">
        <v>350</v>
      </c>
      <c r="D130" s="10"/>
      <c r="E130" s="25"/>
      <c r="F130" s="25">
        <f t="shared" si="37"/>
        <v>0</v>
      </c>
      <c r="G130" s="21">
        <v>4.5999999999999996</v>
      </c>
      <c r="H130" s="21">
        <f t="shared" si="38"/>
        <v>0.82799999999999996</v>
      </c>
      <c r="I130" s="21">
        <f t="shared" si="39"/>
        <v>5.4279999999999999</v>
      </c>
      <c r="J130" s="133">
        <v>1175</v>
      </c>
      <c r="K130" s="21">
        <v>5.43</v>
      </c>
      <c r="L130" s="61">
        <f t="shared" si="34"/>
        <v>6380.25</v>
      </c>
      <c r="M130" s="120" t="s">
        <v>119</v>
      </c>
      <c r="N130" s="9" t="s">
        <v>13</v>
      </c>
      <c r="O130" s="9" t="s">
        <v>203</v>
      </c>
      <c r="P130" s="145">
        <v>1175</v>
      </c>
      <c r="Q130" s="10"/>
      <c r="R130" s="10"/>
      <c r="S130" s="10"/>
      <c r="T130" s="166">
        <v>4.5999999999999996</v>
      </c>
      <c r="U130" s="25"/>
      <c r="V130" s="166">
        <v>4.5999999999999996</v>
      </c>
      <c r="W130" s="164">
        <f t="shared" si="40"/>
        <v>0.82799999999999996</v>
      </c>
      <c r="X130" s="167">
        <f t="shared" si="41"/>
        <v>5.4279999999999999</v>
      </c>
      <c r="Y130" s="167">
        <f t="shared" si="42"/>
        <v>6377.9</v>
      </c>
      <c r="Z130" s="95">
        <f t="shared" si="26"/>
        <v>1.9999999999997797E-3</v>
      </c>
    </row>
    <row r="131" spans="1:26" ht="15.75">
      <c r="A131" s="120" t="s">
        <v>175</v>
      </c>
      <c r="B131" s="9" t="s">
        <v>13</v>
      </c>
      <c r="C131" s="10"/>
      <c r="D131" s="10">
        <v>1000</v>
      </c>
      <c r="E131" s="25">
        <f>7670/D131</f>
        <v>7.67</v>
      </c>
      <c r="F131" s="25">
        <f t="shared" si="37"/>
        <v>7670</v>
      </c>
      <c r="G131" s="21"/>
      <c r="H131" s="21"/>
      <c r="I131" s="21"/>
      <c r="J131" s="133">
        <v>893</v>
      </c>
      <c r="K131" s="21">
        <v>7.67</v>
      </c>
      <c r="L131" s="61">
        <f t="shared" si="34"/>
        <v>6849.3099999999995</v>
      </c>
      <c r="M131" s="120" t="s">
        <v>175</v>
      </c>
      <c r="N131" s="9" t="s">
        <v>13</v>
      </c>
      <c r="O131" s="9" t="s">
        <v>203</v>
      </c>
      <c r="P131" s="149">
        <v>893</v>
      </c>
      <c r="Q131" s="69">
        <v>1000</v>
      </c>
      <c r="R131" s="69"/>
      <c r="S131" s="69"/>
      <c r="T131" s="166">
        <v>0</v>
      </c>
      <c r="U131" s="25">
        <v>6.6</v>
      </c>
      <c r="V131" s="166">
        <v>6.6</v>
      </c>
      <c r="W131" s="164">
        <f t="shared" si="40"/>
        <v>1.1879999999999999</v>
      </c>
      <c r="X131" s="167">
        <f t="shared" si="41"/>
        <v>7.7879999999999994</v>
      </c>
      <c r="Y131" s="167">
        <f t="shared" si="42"/>
        <v>6954.6839999999993</v>
      </c>
      <c r="Z131" s="95">
        <f t="shared" si="26"/>
        <v>-0.11799999999999944</v>
      </c>
    </row>
    <row r="132" spans="1:26" ht="15.75">
      <c r="A132" s="120" t="s">
        <v>174</v>
      </c>
      <c r="B132" s="9" t="s">
        <v>13</v>
      </c>
      <c r="C132" s="10"/>
      <c r="D132" s="10">
        <v>1000</v>
      </c>
      <c r="E132" s="25">
        <f>8850/D132</f>
        <v>8.85</v>
      </c>
      <c r="F132" s="25">
        <f t="shared" si="37"/>
        <v>8850</v>
      </c>
      <c r="G132" s="21"/>
      <c r="H132" s="21"/>
      <c r="I132" s="21"/>
      <c r="J132" s="133">
        <v>1000</v>
      </c>
      <c r="K132" s="21">
        <v>8.85</v>
      </c>
      <c r="L132" s="61">
        <f t="shared" si="34"/>
        <v>8850</v>
      </c>
      <c r="M132" s="120" t="s">
        <v>174</v>
      </c>
      <c r="N132" s="9" t="s">
        <v>13</v>
      </c>
      <c r="O132" s="9" t="s">
        <v>203</v>
      </c>
      <c r="P132" s="149">
        <v>1000</v>
      </c>
      <c r="Q132" s="69">
        <v>1000</v>
      </c>
      <c r="R132" s="69"/>
      <c r="S132" s="69"/>
      <c r="T132" s="166">
        <v>0</v>
      </c>
      <c r="U132" s="25">
        <v>7.5</v>
      </c>
      <c r="V132" s="166">
        <v>7.5</v>
      </c>
      <c r="W132" s="164">
        <f t="shared" si="40"/>
        <v>1.3499999999999999</v>
      </c>
      <c r="X132" s="167">
        <f t="shared" si="41"/>
        <v>8.85</v>
      </c>
      <c r="Y132" s="167">
        <f t="shared" si="42"/>
        <v>8850</v>
      </c>
      <c r="Z132" s="95">
        <f t="shared" si="26"/>
        <v>0</v>
      </c>
    </row>
    <row r="133" spans="1:26" ht="15.75">
      <c r="A133" s="56" t="s">
        <v>155</v>
      </c>
      <c r="B133" s="9" t="s">
        <v>13</v>
      </c>
      <c r="C133" s="10">
        <v>650</v>
      </c>
      <c r="D133" s="10"/>
      <c r="E133" s="25"/>
      <c r="F133" s="25">
        <f t="shared" si="37"/>
        <v>0</v>
      </c>
      <c r="G133" s="21">
        <v>1.75</v>
      </c>
      <c r="H133" s="21">
        <f t="shared" ref="H133:H139" si="43">+G133*18%</f>
        <v>0.315</v>
      </c>
      <c r="I133" s="21">
        <f t="shared" ref="I133:I139" si="44">H133+G133</f>
        <v>2.0649999999999999</v>
      </c>
      <c r="J133" s="133">
        <v>600</v>
      </c>
      <c r="K133" s="21">
        <v>2.0699999999999998</v>
      </c>
      <c r="L133" s="61">
        <f t="shared" si="34"/>
        <v>1242</v>
      </c>
      <c r="M133" s="146" t="s">
        <v>155</v>
      </c>
      <c r="N133" s="9" t="s">
        <v>13</v>
      </c>
      <c r="O133" s="9" t="s">
        <v>203</v>
      </c>
      <c r="P133" s="145">
        <v>600</v>
      </c>
      <c r="Q133" s="10"/>
      <c r="R133" s="10">
        <v>53</v>
      </c>
      <c r="S133" s="10"/>
      <c r="T133" s="166">
        <v>1.75</v>
      </c>
      <c r="U133" s="25"/>
      <c r="V133" s="166">
        <v>1.75</v>
      </c>
      <c r="W133" s="164">
        <f t="shared" si="40"/>
        <v>0.315</v>
      </c>
      <c r="X133" s="167">
        <f t="shared" si="41"/>
        <v>2.0649999999999999</v>
      </c>
      <c r="Y133" s="167">
        <f t="shared" si="42"/>
        <v>1239</v>
      </c>
      <c r="Z133" s="95">
        <f t="shared" si="26"/>
        <v>4.9999999999998934E-3</v>
      </c>
    </row>
    <row r="134" spans="1:26" ht="15.75">
      <c r="A134" s="24" t="s">
        <v>121</v>
      </c>
      <c r="B134" s="9" t="s">
        <v>13</v>
      </c>
      <c r="C134" s="10">
        <v>6</v>
      </c>
      <c r="D134" s="10"/>
      <c r="E134" s="25"/>
      <c r="F134" s="25">
        <f t="shared" si="37"/>
        <v>0</v>
      </c>
      <c r="G134" s="11">
        <v>130</v>
      </c>
      <c r="H134" s="11">
        <f t="shared" si="43"/>
        <v>23.4</v>
      </c>
      <c r="I134" s="11">
        <f t="shared" si="44"/>
        <v>153.4</v>
      </c>
      <c r="J134" s="133">
        <v>6</v>
      </c>
      <c r="K134" s="11">
        <v>153.4</v>
      </c>
      <c r="L134" s="61">
        <f t="shared" si="34"/>
        <v>920.40000000000009</v>
      </c>
      <c r="M134" s="120" t="s">
        <v>121</v>
      </c>
      <c r="N134" s="9" t="s">
        <v>13</v>
      </c>
      <c r="O134" s="9" t="s">
        <v>202</v>
      </c>
      <c r="P134" s="145">
        <v>6</v>
      </c>
      <c r="Q134" s="10"/>
      <c r="R134" s="10"/>
      <c r="S134" s="10"/>
      <c r="T134" s="166">
        <v>130</v>
      </c>
      <c r="U134" s="10"/>
      <c r="V134" s="166">
        <v>130</v>
      </c>
      <c r="W134" s="164">
        <f t="shared" si="40"/>
        <v>23.4</v>
      </c>
      <c r="X134" s="166">
        <f t="shared" si="41"/>
        <v>153.4</v>
      </c>
      <c r="Y134" s="166">
        <f t="shared" si="42"/>
        <v>920.40000000000009</v>
      </c>
      <c r="Z134" s="95">
        <f t="shared" si="26"/>
        <v>0</v>
      </c>
    </row>
    <row r="135" spans="1:26" ht="15.75">
      <c r="A135" s="24" t="s">
        <v>120</v>
      </c>
      <c r="B135" s="9" t="s">
        <v>13</v>
      </c>
      <c r="C135" s="30">
        <v>6</v>
      </c>
      <c r="D135" s="30"/>
      <c r="E135" s="116"/>
      <c r="F135" s="25">
        <f t="shared" si="37"/>
        <v>0</v>
      </c>
      <c r="G135" s="11">
        <v>750</v>
      </c>
      <c r="H135" s="11">
        <f t="shared" si="43"/>
        <v>135</v>
      </c>
      <c r="I135" s="11">
        <f t="shared" si="44"/>
        <v>885</v>
      </c>
      <c r="J135" s="133">
        <v>6</v>
      </c>
      <c r="K135" s="11">
        <v>885</v>
      </c>
      <c r="L135" s="61">
        <f t="shared" ref="L135:L159" si="45">J135*K135</f>
        <v>5310</v>
      </c>
      <c r="M135" s="120" t="s">
        <v>120</v>
      </c>
      <c r="N135" s="9" t="s">
        <v>13</v>
      </c>
      <c r="O135" s="9" t="s">
        <v>202</v>
      </c>
      <c r="P135" s="145">
        <v>6</v>
      </c>
      <c r="Q135" s="30"/>
      <c r="R135" s="30"/>
      <c r="S135" s="30"/>
      <c r="T135" s="166">
        <v>750</v>
      </c>
      <c r="U135" s="30"/>
      <c r="V135" s="166">
        <v>750</v>
      </c>
      <c r="W135" s="164">
        <f t="shared" si="40"/>
        <v>135</v>
      </c>
      <c r="X135" s="166">
        <f t="shared" si="41"/>
        <v>885</v>
      </c>
      <c r="Y135" s="166">
        <f t="shared" si="42"/>
        <v>5310</v>
      </c>
      <c r="Z135" s="95">
        <f t="shared" si="26"/>
        <v>0</v>
      </c>
    </row>
    <row r="136" spans="1:26" ht="15.75">
      <c r="A136" s="24" t="s">
        <v>122</v>
      </c>
      <c r="B136" s="9" t="s">
        <v>13</v>
      </c>
      <c r="C136" s="10">
        <v>5</v>
      </c>
      <c r="D136" s="10"/>
      <c r="E136" s="25"/>
      <c r="F136" s="25">
        <f t="shared" si="37"/>
        <v>0</v>
      </c>
      <c r="G136" s="21">
        <v>90</v>
      </c>
      <c r="H136" s="25">
        <f t="shared" si="43"/>
        <v>16.2</v>
      </c>
      <c r="I136" s="21">
        <f t="shared" si="44"/>
        <v>106.2</v>
      </c>
      <c r="J136" s="133">
        <v>5</v>
      </c>
      <c r="K136" s="21">
        <v>106.2</v>
      </c>
      <c r="L136" s="61">
        <f t="shared" si="45"/>
        <v>531</v>
      </c>
      <c r="M136" s="120" t="s">
        <v>122</v>
      </c>
      <c r="N136" s="9" t="s">
        <v>13</v>
      </c>
      <c r="O136" s="9" t="s">
        <v>203</v>
      </c>
      <c r="P136" s="145">
        <v>5</v>
      </c>
      <c r="Q136" s="10"/>
      <c r="R136" s="10"/>
      <c r="S136" s="10"/>
      <c r="T136" s="166">
        <v>90</v>
      </c>
      <c r="U136" s="25"/>
      <c r="V136" s="166">
        <v>90</v>
      </c>
      <c r="W136" s="164">
        <f t="shared" si="40"/>
        <v>16.2</v>
      </c>
      <c r="X136" s="167">
        <f t="shared" si="41"/>
        <v>106.2</v>
      </c>
      <c r="Y136" s="167">
        <f t="shared" si="42"/>
        <v>531</v>
      </c>
      <c r="Z136" s="95">
        <f t="shared" ref="Z136" si="46">K136-X136</f>
        <v>0</v>
      </c>
    </row>
    <row r="137" spans="1:26" ht="15.75">
      <c r="A137" s="24" t="s">
        <v>123</v>
      </c>
      <c r="B137" s="9" t="s">
        <v>13</v>
      </c>
      <c r="C137" s="10">
        <v>12</v>
      </c>
      <c r="D137" s="10">
        <v>20</v>
      </c>
      <c r="E137" s="25">
        <f>8496/D137</f>
        <v>424.8</v>
      </c>
      <c r="F137" s="25">
        <f t="shared" si="37"/>
        <v>8496</v>
      </c>
      <c r="G137" s="21">
        <v>211.34</v>
      </c>
      <c r="H137" s="25">
        <f t="shared" si="43"/>
        <v>38.041199999999996</v>
      </c>
      <c r="I137" s="21">
        <f t="shared" si="44"/>
        <v>249.38120000000001</v>
      </c>
      <c r="J137" s="133">
        <v>31</v>
      </c>
      <c r="K137" s="21">
        <v>424.8</v>
      </c>
      <c r="L137" s="61">
        <f t="shared" si="45"/>
        <v>13168.800000000001</v>
      </c>
      <c r="M137" s="137" t="s">
        <v>225</v>
      </c>
      <c r="N137" s="135" t="s">
        <v>13</v>
      </c>
      <c r="O137" s="135" t="s">
        <v>203</v>
      </c>
      <c r="P137" s="145">
        <v>31</v>
      </c>
      <c r="Q137" s="136">
        <v>20</v>
      </c>
      <c r="R137" s="136"/>
      <c r="S137" s="136"/>
      <c r="T137" s="168">
        <v>211.34</v>
      </c>
      <c r="U137" s="131">
        <v>360</v>
      </c>
      <c r="V137" s="168">
        <v>360</v>
      </c>
      <c r="W137" s="171">
        <f t="shared" si="40"/>
        <v>64.8</v>
      </c>
      <c r="X137" s="172">
        <f t="shared" si="41"/>
        <v>424.8</v>
      </c>
      <c r="Y137" s="172">
        <f t="shared" si="42"/>
        <v>13168.800000000001</v>
      </c>
      <c r="Z137" s="95">
        <f>K137-X137</f>
        <v>0</v>
      </c>
    </row>
    <row r="138" spans="1:26" ht="15.75">
      <c r="A138" s="24" t="s">
        <v>124</v>
      </c>
      <c r="B138" s="9" t="s">
        <v>13</v>
      </c>
      <c r="C138" s="10">
        <v>55</v>
      </c>
      <c r="D138" s="10">
        <v>130</v>
      </c>
      <c r="E138" s="25">
        <f>13039/130</f>
        <v>100.3</v>
      </c>
      <c r="F138" s="25">
        <f t="shared" si="37"/>
        <v>13039</v>
      </c>
      <c r="G138" s="21">
        <v>95.49</v>
      </c>
      <c r="H138" s="21">
        <f t="shared" si="43"/>
        <v>17.188199999999998</v>
      </c>
      <c r="I138" s="21">
        <f t="shared" si="44"/>
        <v>112.67819999999999</v>
      </c>
      <c r="J138" s="133">
        <v>175</v>
      </c>
      <c r="K138" s="21">
        <v>100.3</v>
      </c>
      <c r="L138" s="61">
        <f t="shared" si="45"/>
        <v>17552.5</v>
      </c>
      <c r="M138" s="120" t="s">
        <v>226</v>
      </c>
      <c r="N138" s="9" t="s">
        <v>13</v>
      </c>
      <c r="O138" s="9" t="s">
        <v>203</v>
      </c>
      <c r="P138" s="145">
        <v>175</v>
      </c>
      <c r="Q138" s="10">
        <v>130</v>
      </c>
      <c r="R138" s="10">
        <v>11</v>
      </c>
      <c r="S138" s="10"/>
      <c r="T138" s="166">
        <v>95.49</v>
      </c>
      <c r="U138" s="25">
        <v>85</v>
      </c>
      <c r="V138" s="166">
        <v>85</v>
      </c>
      <c r="W138" s="164">
        <f t="shared" si="40"/>
        <v>15.299999999999999</v>
      </c>
      <c r="X138" s="167">
        <f t="shared" si="41"/>
        <v>100.3</v>
      </c>
      <c r="Y138" s="167">
        <f t="shared" si="42"/>
        <v>17552.5</v>
      </c>
      <c r="Z138" s="95">
        <f t="shared" ref="Z138:Z159" si="47">K138-X138</f>
        <v>0</v>
      </c>
    </row>
    <row r="139" spans="1:26" ht="15.75">
      <c r="A139" s="24" t="s">
        <v>125</v>
      </c>
      <c r="B139" s="9" t="s">
        <v>13</v>
      </c>
      <c r="C139" s="10">
        <v>14</v>
      </c>
      <c r="D139" s="10"/>
      <c r="E139" s="25"/>
      <c r="F139" s="25">
        <f t="shared" si="37"/>
        <v>0</v>
      </c>
      <c r="G139" s="21">
        <v>281.38</v>
      </c>
      <c r="H139" s="21">
        <f t="shared" si="43"/>
        <v>50.648399999999995</v>
      </c>
      <c r="I139" s="21">
        <f t="shared" si="44"/>
        <v>332.02839999999998</v>
      </c>
      <c r="J139" s="133">
        <v>14</v>
      </c>
      <c r="K139" s="21">
        <v>332.03</v>
      </c>
      <c r="L139" s="61">
        <f t="shared" si="45"/>
        <v>4648.42</v>
      </c>
      <c r="M139" s="120" t="s">
        <v>125</v>
      </c>
      <c r="N139" s="9" t="s">
        <v>13</v>
      </c>
      <c r="O139" s="9" t="s">
        <v>203</v>
      </c>
      <c r="P139" s="145">
        <v>14</v>
      </c>
      <c r="Q139" s="10"/>
      <c r="R139" s="10">
        <v>1</v>
      </c>
      <c r="S139" s="10"/>
      <c r="T139" s="166">
        <v>281.38</v>
      </c>
      <c r="U139" s="25"/>
      <c r="V139" s="166">
        <v>281.38</v>
      </c>
      <c r="W139" s="164">
        <f t="shared" si="40"/>
        <v>50.648399999999995</v>
      </c>
      <c r="X139" s="167">
        <f t="shared" si="41"/>
        <v>332.02839999999998</v>
      </c>
      <c r="Y139" s="167">
        <f t="shared" si="42"/>
        <v>4648.3975999999993</v>
      </c>
      <c r="Z139" s="95">
        <f t="shared" si="47"/>
        <v>1.5999999999962711E-3</v>
      </c>
    </row>
    <row r="140" spans="1:26" ht="15.75">
      <c r="A140" s="120" t="s">
        <v>179</v>
      </c>
      <c r="B140" s="9" t="s">
        <v>13</v>
      </c>
      <c r="C140" s="10"/>
      <c r="D140" s="10">
        <v>20</v>
      </c>
      <c r="E140" s="25">
        <f>22184/D140</f>
        <v>1109.2</v>
      </c>
      <c r="F140" s="25">
        <f t="shared" si="37"/>
        <v>22184</v>
      </c>
      <c r="G140" s="21"/>
      <c r="H140" s="21"/>
      <c r="I140" s="21"/>
      <c r="J140" s="133">
        <v>20</v>
      </c>
      <c r="K140" s="21">
        <v>1109.2</v>
      </c>
      <c r="L140" s="61">
        <f t="shared" si="45"/>
        <v>22184</v>
      </c>
      <c r="M140" s="120" t="s">
        <v>179</v>
      </c>
      <c r="N140" s="9" t="s">
        <v>13</v>
      </c>
      <c r="O140" s="9" t="s">
        <v>203</v>
      </c>
      <c r="P140" s="145">
        <v>20</v>
      </c>
      <c r="Q140" s="10">
        <v>20</v>
      </c>
      <c r="R140" s="10"/>
      <c r="S140" s="10"/>
      <c r="T140" s="166">
        <v>0</v>
      </c>
      <c r="U140" s="25">
        <v>940</v>
      </c>
      <c r="V140" s="166">
        <v>940</v>
      </c>
      <c r="W140" s="164">
        <f t="shared" si="40"/>
        <v>169.2</v>
      </c>
      <c r="X140" s="167">
        <f t="shared" si="41"/>
        <v>1109.2</v>
      </c>
      <c r="Y140" s="167">
        <f t="shared" si="42"/>
        <v>22184</v>
      </c>
      <c r="Z140" s="95">
        <f t="shared" si="47"/>
        <v>0</v>
      </c>
    </row>
    <row r="141" spans="1:26" ht="15.75">
      <c r="A141" s="120" t="s">
        <v>180</v>
      </c>
      <c r="B141" s="121" t="s">
        <v>13</v>
      </c>
      <c r="C141" s="10"/>
      <c r="D141" s="10">
        <v>20</v>
      </c>
      <c r="E141" s="25">
        <f>10620/D141</f>
        <v>531</v>
      </c>
      <c r="F141" s="25">
        <f t="shared" si="37"/>
        <v>10620</v>
      </c>
      <c r="G141" s="21"/>
      <c r="H141" s="21"/>
      <c r="I141" s="21"/>
      <c r="J141" s="133">
        <v>15</v>
      </c>
      <c r="K141" s="21">
        <v>531</v>
      </c>
      <c r="L141" s="61">
        <f t="shared" si="45"/>
        <v>7965</v>
      </c>
      <c r="M141" s="120" t="s">
        <v>180</v>
      </c>
      <c r="N141" s="121" t="s">
        <v>13</v>
      </c>
      <c r="O141" s="121" t="s">
        <v>203</v>
      </c>
      <c r="P141" s="145">
        <v>15</v>
      </c>
      <c r="Q141" s="10">
        <v>20</v>
      </c>
      <c r="R141" s="10">
        <v>3</v>
      </c>
      <c r="S141" s="10"/>
      <c r="T141" s="170">
        <v>0</v>
      </c>
      <c r="U141" s="25">
        <v>450</v>
      </c>
      <c r="V141" s="170">
        <v>450</v>
      </c>
      <c r="W141" s="173">
        <f t="shared" si="40"/>
        <v>81</v>
      </c>
      <c r="X141" s="174">
        <f t="shared" si="41"/>
        <v>531</v>
      </c>
      <c r="Y141" s="174">
        <f t="shared" si="42"/>
        <v>7965</v>
      </c>
      <c r="Z141" s="95">
        <f t="shared" si="47"/>
        <v>0</v>
      </c>
    </row>
    <row r="142" spans="1:26" ht="15.75">
      <c r="A142" s="64" t="s">
        <v>130</v>
      </c>
      <c r="B142" s="33" t="s">
        <v>31</v>
      </c>
      <c r="C142" s="15">
        <v>8</v>
      </c>
      <c r="D142" s="15"/>
      <c r="E142" s="112"/>
      <c r="F142" s="25">
        <f t="shared" si="37"/>
        <v>0</v>
      </c>
      <c r="G142" s="16">
        <v>228</v>
      </c>
      <c r="H142" s="16">
        <f t="shared" ref="H142:H147" si="48">G142*18%</f>
        <v>41.04</v>
      </c>
      <c r="I142" s="16">
        <f t="shared" ref="I142:I159" si="49">H142+G142</f>
        <v>269.04000000000002</v>
      </c>
      <c r="J142" s="133">
        <v>8</v>
      </c>
      <c r="K142" s="16">
        <v>269.04000000000002</v>
      </c>
      <c r="L142" s="61">
        <f t="shared" si="45"/>
        <v>2152.3200000000002</v>
      </c>
      <c r="M142" s="142" t="s">
        <v>130</v>
      </c>
      <c r="N142" s="33" t="s">
        <v>31</v>
      </c>
      <c r="O142" s="33" t="s">
        <v>201</v>
      </c>
      <c r="P142" s="145">
        <v>8</v>
      </c>
      <c r="Q142" s="15"/>
      <c r="R142" s="15"/>
      <c r="S142" s="15"/>
      <c r="T142" s="164">
        <v>228</v>
      </c>
      <c r="U142" s="15"/>
      <c r="V142" s="164">
        <v>228</v>
      </c>
      <c r="W142" s="164">
        <f t="shared" si="40"/>
        <v>41.04</v>
      </c>
      <c r="X142" s="164">
        <f t="shared" si="41"/>
        <v>269.04000000000002</v>
      </c>
      <c r="Y142" s="164">
        <f t="shared" si="42"/>
        <v>2152.3200000000002</v>
      </c>
      <c r="Z142" s="95">
        <f t="shared" si="47"/>
        <v>0</v>
      </c>
    </row>
    <row r="143" spans="1:26" ht="15.75">
      <c r="A143" s="64" t="s">
        <v>131</v>
      </c>
      <c r="B143" s="33" t="s">
        <v>31</v>
      </c>
      <c r="C143" s="15">
        <v>2</v>
      </c>
      <c r="D143" s="15"/>
      <c r="E143" s="112"/>
      <c r="F143" s="25">
        <f t="shared" ref="F143:F159" si="50">D143*E143</f>
        <v>0</v>
      </c>
      <c r="G143" s="16">
        <v>228</v>
      </c>
      <c r="H143" s="16">
        <f t="shared" si="48"/>
        <v>41.04</v>
      </c>
      <c r="I143" s="16">
        <f t="shared" si="49"/>
        <v>269.04000000000002</v>
      </c>
      <c r="J143" s="133">
        <v>2</v>
      </c>
      <c r="K143" s="16">
        <v>269.04000000000002</v>
      </c>
      <c r="L143" s="61">
        <f t="shared" si="45"/>
        <v>538.08000000000004</v>
      </c>
      <c r="M143" s="142" t="s">
        <v>131</v>
      </c>
      <c r="N143" s="33" t="s">
        <v>31</v>
      </c>
      <c r="O143" s="33" t="s">
        <v>201</v>
      </c>
      <c r="P143" s="145">
        <v>2</v>
      </c>
      <c r="Q143" s="15"/>
      <c r="R143" s="15"/>
      <c r="S143" s="15"/>
      <c r="T143" s="164">
        <v>228</v>
      </c>
      <c r="U143" s="15"/>
      <c r="V143" s="164">
        <v>228</v>
      </c>
      <c r="W143" s="164">
        <f t="shared" si="40"/>
        <v>41.04</v>
      </c>
      <c r="X143" s="164">
        <f t="shared" si="41"/>
        <v>269.04000000000002</v>
      </c>
      <c r="Y143" s="164">
        <f t="shared" si="42"/>
        <v>538.08000000000004</v>
      </c>
      <c r="Z143" s="95">
        <f t="shared" si="47"/>
        <v>0</v>
      </c>
    </row>
    <row r="144" spans="1:26" ht="15.75">
      <c r="A144" s="64" t="s">
        <v>128</v>
      </c>
      <c r="B144" s="33" t="s">
        <v>31</v>
      </c>
      <c r="C144" s="15">
        <v>38</v>
      </c>
      <c r="D144" s="15"/>
      <c r="E144" s="112"/>
      <c r="F144" s="25">
        <f t="shared" si="50"/>
        <v>0</v>
      </c>
      <c r="G144" s="16">
        <v>228</v>
      </c>
      <c r="H144" s="16">
        <f t="shared" si="48"/>
        <v>41.04</v>
      </c>
      <c r="I144" s="16">
        <f t="shared" si="49"/>
        <v>269.04000000000002</v>
      </c>
      <c r="J144" s="133">
        <v>37</v>
      </c>
      <c r="K144" s="16">
        <v>269.04000000000002</v>
      </c>
      <c r="L144" s="61">
        <f t="shared" si="45"/>
        <v>9954.4800000000014</v>
      </c>
      <c r="M144" s="142" t="s">
        <v>128</v>
      </c>
      <c r="N144" s="33" t="s">
        <v>31</v>
      </c>
      <c r="O144" s="33" t="s">
        <v>201</v>
      </c>
      <c r="P144" s="145">
        <v>37</v>
      </c>
      <c r="Q144" s="15"/>
      <c r="R144" s="15">
        <v>2</v>
      </c>
      <c r="S144" s="15"/>
      <c r="T144" s="164">
        <v>228</v>
      </c>
      <c r="U144" s="15"/>
      <c r="V144" s="164">
        <v>228</v>
      </c>
      <c r="W144" s="164">
        <f t="shared" si="40"/>
        <v>41.04</v>
      </c>
      <c r="X144" s="164">
        <f t="shared" si="41"/>
        <v>269.04000000000002</v>
      </c>
      <c r="Y144" s="164">
        <f t="shared" si="42"/>
        <v>9954.4800000000014</v>
      </c>
      <c r="Z144" s="95">
        <f t="shared" si="47"/>
        <v>0</v>
      </c>
    </row>
    <row r="145" spans="1:26" ht="15.75">
      <c r="A145" s="64" t="s">
        <v>129</v>
      </c>
      <c r="B145" s="33" t="s">
        <v>31</v>
      </c>
      <c r="C145" s="15">
        <v>2</v>
      </c>
      <c r="D145" s="15"/>
      <c r="E145" s="112"/>
      <c r="F145" s="25">
        <f t="shared" si="50"/>
        <v>0</v>
      </c>
      <c r="G145" s="16">
        <v>228</v>
      </c>
      <c r="H145" s="16">
        <f t="shared" si="48"/>
        <v>41.04</v>
      </c>
      <c r="I145" s="16">
        <f t="shared" si="49"/>
        <v>269.04000000000002</v>
      </c>
      <c r="J145" s="133">
        <v>1</v>
      </c>
      <c r="K145" s="16">
        <v>269.04000000000002</v>
      </c>
      <c r="L145" s="61">
        <f t="shared" si="45"/>
        <v>269.04000000000002</v>
      </c>
      <c r="M145" s="142" t="s">
        <v>129</v>
      </c>
      <c r="N145" s="33" t="s">
        <v>31</v>
      </c>
      <c r="O145" s="33" t="s">
        <v>201</v>
      </c>
      <c r="P145" s="145">
        <v>1</v>
      </c>
      <c r="Q145" s="15"/>
      <c r="R145" s="15"/>
      <c r="S145" s="15"/>
      <c r="T145" s="164">
        <v>228</v>
      </c>
      <c r="U145" s="15"/>
      <c r="V145" s="164">
        <v>228</v>
      </c>
      <c r="W145" s="164">
        <f t="shared" si="40"/>
        <v>41.04</v>
      </c>
      <c r="X145" s="164">
        <f t="shared" si="41"/>
        <v>269.04000000000002</v>
      </c>
      <c r="Y145" s="164">
        <f t="shared" si="42"/>
        <v>269.04000000000002</v>
      </c>
      <c r="Z145" s="95">
        <f t="shared" si="47"/>
        <v>0</v>
      </c>
    </row>
    <row r="146" spans="1:26" ht="15.75">
      <c r="A146" s="64" t="s">
        <v>157</v>
      </c>
      <c r="B146" s="33" t="s">
        <v>31</v>
      </c>
      <c r="C146" s="15">
        <v>28</v>
      </c>
      <c r="D146" s="15"/>
      <c r="E146" s="112"/>
      <c r="F146" s="25">
        <f t="shared" si="50"/>
        <v>0</v>
      </c>
      <c r="G146" s="16">
        <v>228</v>
      </c>
      <c r="H146" s="16">
        <f t="shared" si="48"/>
        <v>41.04</v>
      </c>
      <c r="I146" s="16">
        <f t="shared" si="49"/>
        <v>269.04000000000002</v>
      </c>
      <c r="J146" s="133">
        <v>28</v>
      </c>
      <c r="K146" s="16">
        <v>269.04000000000002</v>
      </c>
      <c r="L146" s="61">
        <f t="shared" si="45"/>
        <v>7533.1200000000008</v>
      </c>
      <c r="M146" s="142" t="s">
        <v>157</v>
      </c>
      <c r="N146" s="33" t="s">
        <v>31</v>
      </c>
      <c r="O146" s="33" t="s">
        <v>201</v>
      </c>
      <c r="P146" s="145">
        <v>28</v>
      </c>
      <c r="Q146" s="15"/>
      <c r="R146" s="15"/>
      <c r="S146" s="15"/>
      <c r="T146" s="164">
        <v>228</v>
      </c>
      <c r="U146" s="15"/>
      <c r="V146" s="164">
        <v>228</v>
      </c>
      <c r="W146" s="164">
        <f t="shared" si="40"/>
        <v>41.04</v>
      </c>
      <c r="X146" s="164">
        <f t="shared" si="41"/>
        <v>269.04000000000002</v>
      </c>
      <c r="Y146" s="164">
        <f t="shared" si="42"/>
        <v>7533.1200000000008</v>
      </c>
      <c r="Z146" s="95">
        <f t="shared" si="47"/>
        <v>0</v>
      </c>
    </row>
    <row r="147" spans="1:26" ht="15.75">
      <c r="A147" s="64" t="s">
        <v>126</v>
      </c>
      <c r="B147" s="14" t="s">
        <v>13</v>
      </c>
      <c r="C147" s="15">
        <v>3</v>
      </c>
      <c r="D147" s="15"/>
      <c r="E147" s="112"/>
      <c r="F147" s="25">
        <f t="shared" si="50"/>
        <v>0</v>
      </c>
      <c r="G147" s="16">
        <v>520</v>
      </c>
      <c r="H147" s="16">
        <f t="shared" si="48"/>
        <v>93.6</v>
      </c>
      <c r="I147" s="16">
        <f t="shared" si="49"/>
        <v>613.6</v>
      </c>
      <c r="J147" s="133">
        <v>3</v>
      </c>
      <c r="K147" s="16">
        <v>613.6</v>
      </c>
      <c r="L147" s="61">
        <f t="shared" si="45"/>
        <v>1840.8000000000002</v>
      </c>
      <c r="M147" s="142" t="s">
        <v>126</v>
      </c>
      <c r="N147" s="14" t="s">
        <v>13</v>
      </c>
      <c r="O147" s="14" t="s">
        <v>201</v>
      </c>
      <c r="P147" s="145">
        <v>3</v>
      </c>
      <c r="Q147" s="15"/>
      <c r="R147" s="15">
        <v>2</v>
      </c>
      <c r="S147" s="15"/>
      <c r="T147" s="164">
        <v>520</v>
      </c>
      <c r="U147" s="15"/>
      <c r="V147" s="164">
        <v>520</v>
      </c>
      <c r="W147" s="164">
        <f t="shared" si="40"/>
        <v>93.6</v>
      </c>
      <c r="X147" s="164">
        <f t="shared" si="41"/>
        <v>613.6</v>
      </c>
      <c r="Y147" s="164">
        <f t="shared" si="42"/>
        <v>1840.8000000000002</v>
      </c>
      <c r="Z147" s="95">
        <f t="shared" si="47"/>
        <v>0</v>
      </c>
    </row>
    <row r="148" spans="1:26" ht="15.75">
      <c r="A148" s="64" t="s">
        <v>148</v>
      </c>
      <c r="B148" s="33" t="s">
        <v>31</v>
      </c>
      <c r="C148" s="15">
        <v>8</v>
      </c>
      <c r="D148" s="15"/>
      <c r="E148" s="112"/>
      <c r="F148" s="25">
        <f t="shared" si="50"/>
        <v>0</v>
      </c>
      <c r="G148" s="16">
        <v>228</v>
      </c>
      <c r="H148" s="16"/>
      <c r="I148" s="16">
        <f t="shared" si="49"/>
        <v>228</v>
      </c>
      <c r="J148" s="133">
        <v>7</v>
      </c>
      <c r="K148" s="16">
        <v>228</v>
      </c>
      <c r="L148" s="61">
        <f t="shared" si="45"/>
        <v>1596</v>
      </c>
      <c r="M148" s="142" t="s">
        <v>148</v>
      </c>
      <c r="N148" s="33" t="s">
        <v>31</v>
      </c>
      <c r="O148" s="33" t="s">
        <v>201</v>
      </c>
      <c r="P148" s="145">
        <v>7</v>
      </c>
      <c r="Q148" s="15"/>
      <c r="R148" s="15"/>
      <c r="S148" s="15"/>
      <c r="T148" s="164">
        <v>228</v>
      </c>
      <c r="U148" s="15"/>
      <c r="V148" s="164">
        <v>228</v>
      </c>
      <c r="W148" s="164">
        <f t="shared" si="40"/>
        <v>41.04</v>
      </c>
      <c r="X148" s="164">
        <f t="shared" si="41"/>
        <v>269.04000000000002</v>
      </c>
      <c r="Y148" s="164">
        <f t="shared" si="42"/>
        <v>1883.2800000000002</v>
      </c>
      <c r="Z148" s="95">
        <f t="shared" si="47"/>
        <v>-41.04000000000002</v>
      </c>
    </row>
    <row r="149" spans="1:26" ht="15.75">
      <c r="A149" s="64" t="s">
        <v>132</v>
      </c>
      <c r="B149" s="33" t="s">
        <v>31</v>
      </c>
      <c r="C149" s="15">
        <v>9</v>
      </c>
      <c r="D149" s="15"/>
      <c r="E149" s="112"/>
      <c r="F149" s="25">
        <f t="shared" si="50"/>
        <v>0</v>
      </c>
      <c r="G149" s="16">
        <v>228</v>
      </c>
      <c r="H149" s="16">
        <f>G149*18%</f>
        <v>41.04</v>
      </c>
      <c r="I149" s="16">
        <f t="shared" si="49"/>
        <v>269.04000000000002</v>
      </c>
      <c r="J149" s="133">
        <v>7</v>
      </c>
      <c r="K149" s="16">
        <v>269.04000000000002</v>
      </c>
      <c r="L149" s="61">
        <f t="shared" si="45"/>
        <v>1883.2800000000002</v>
      </c>
      <c r="M149" s="142" t="s">
        <v>132</v>
      </c>
      <c r="N149" s="33" t="s">
        <v>31</v>
      </c>
      <c r="O149" s="33" t="s">
        <v>201</v>
      </c>
      <c r="P149" s="145">
        <v>7</v>
      </c>
      <c r="Q149" s="15"/>
      <c r="R149" s="15"/>
      <c r="S149" s="15"/>
      <c r="T149" s="164">
        <v>228</v>
      </c>
      <c r="U149" s="15"/>
      <c r="V149" s="164">
        <v>228</v>
      </c>
      <c r="W149" s="164">
        <f t="shared" si="40"/>
        <v>41.04</v>
      </c>
      <c r="X149" s="164">
        <f t="shared" si="41"/>
        <v>269.04000000000002</v>
      </c>
      <c r="Y149" s="164">
        <f t="shared" si="42"/>
        <v>1883.2800000000002</v>
      </c>
      <c r="Z149" s="95">
        <f t="shared" si="47"/>
        <v>0</v>
      </c>
    </row>
    <row r="150" spans="1:26" ht="15.75">
      <c r="A150" s="64" t="s">
        <v>147</v>
      </c>
      <c r="B150" s="33" t="s">
        <v>31</v>
      </c>
      <c r="C150" s="15">
        <v>11</v>
      </c>
      <c r="D150" s="15"/>
      <c r="E150" s="112"/>
      <c r="F150" s="25">
        <f t="shared" si="50"/>
        <v>0</v>
      </c>
      <c r="G150" s="16">
        <v>228</v>
      </c>
      <c r="H150" s="16"/>
      <c r="I150" s="16">
        <f t="shared" si="49"/>
        <v>228</v>
      </c>
      <c r="J150" s="133">
        <v>11</v>
      </c>
      <c r="K150" s="16">
        <v>228</v>
      </c>
      <c r="L150" s="61">
        <f t="shared" si="45"/>
        <v>2508</v>
      </c>
      <c r="M150" s="142" t="s">
        <v>147</v>
      </c>
      <c r="N150" s="33" t="s">
        <v>31</v>
      </c>
      <c r="O150" s="33" t="s">
        <v>201</v>
      </c>
      <c r="P150" s="145">
        <v>11</v>
      </c>
      <c r="Q150" s="15"/>
      <c r="R150" s="15"/>
      <c r="S150" s="15"/>
      <c r="T150" s="164">
        <v>228</v>
      </c>
      <c r="U150" s="15"/>
      <c r="V150" s="164">
        <v>228</v>
      </c>
      <c r="W150" s="164">
        <f t="shared" si="40"/>
        <v>41.04</v>
      </c>
      <c r="X150" s="164">
        <f t="shared" si="41"/>
        <v>269.04000000000002</v>
      </c>
      <c r="Y150" s="164">
        <f t="shared" si="42"/>
        <v>2959.44</v>
      </c>
      <c r="Z150" s="95">
        <f t="shared" si="47"/>
        <v>-41.04000000000002</v>
      </c>
    </row>
    <row r="151" spans="1:26" ht="15.75">
      <c r="A151" s="24" t="s">
        <v>133</v>
      </c>
      <c r="B151" s="9" t="s">
        <v>13</v>
      </c>
      <c r="C151" s="10">
        <v>20</v>
      </c>
      <c r="D151" s="10">
        <v>20</v>
      </c>
      <c r="E151" s="25">
        <f>2006/D151</f>
        <v>100.3</v>
      </c>
      <c r="F151" s="25">
        <f t="shared" si="50"/>
        <v>2006</v>
      </c>
      <c r="G151" s="21">
        <v>72.25</v>
      </c>
      <c r="H151" s="21">
        <f>+G151*18%</f>
        <v>13.004999999999999</v>
      </c>
      <c r="I151" s="21">
        <f t="shared" si="49"/>
        <v>85.254999999999995</v>
      </c>
      <c r="J151" s="133">
        <v>36</v>
      </c>
      <c r="K151" s="21">
        <v>100.3</v>
      </c>
      <c r="L151" s="61">
        <f t="shared" si="45"/>
        <v>3610.7999999999997</v>
      </c>
      <c r="M151" s="120" t="s">
        <v>133</v>
      </c>
      <c r="N151" s="9" t="s">
        <v>13</v>
      </c>
      <c r="O151" s="9" t="s">
        <v>203</v>
      </c>
      <c r="P151" s="136">
        <v>36</v>
      </c>
      <c r="Q151" s="10">
        <v>20</v>
      </c>
      <c r="R151" s="10">
        <v>3</v>
      </c>
      <c r="S151" s="10"/>
      <c r="T151" s="166">
        <v>72.25</v>
      </c>
      <c r="U151" s="25">
        <v>85</v>
      </c>
      <c r="V151" s="166">
        <v>85</v>
      </c>
      <c r="W151" s="164">
        <f t="shared" si="40"/>
        <v>15.299999999999999</v>
      </c>
      <c r="X151" s="167">
        <f t="shared" si="41"/>
        <v>100.3</v>
      </c>
      <c r="Y151" s="167">
        <f t="shared" si="42"/>
        <v>3610.7999999999997</v>
      </c>
      <c r="Z151" s="95">
        <f t="shared" si="47"/>
        <v>0</v>
      </c>
    </row>
    <row r="152" spans="1:26" ht="15.75">
      <c r="A152" s="24" t="s">
        <v>135</v>
      </c>
      <c r="B152" s="9" t="s">
        <v>13</v>
      </c>
      <c r="C152" s="10">
        <v>22</v>
      </c>
      <c r="D152" s="10">
        <v>8</v>
      </c>
      <c r="E152" s="25">
        <f>736.32/D152</f>
        <v>92.04</v>
      </c>
      <c r="F152" s="25">
        <f t="shared" si="50"/>
        <v>736.32</v>
      </c>
      <c r="G152" s="21">
        <v>61.7</v>
      </c>
      <c r="H152" s="21">
        <f>+G152*18%</f>
        <v>11.106</v>
      </c>
      <c r="I152" s="21">
        <f t="shared" si="49"/>
        <v>72.805999999999997</v>
      </c>
      <c r="J152" s="133">
        <v>36</v>
      </c>
      <c r="K152" s="21">
        <v>92.04</v>
      </c>
      <c r="L152" s="61">
        <f t="shared" si="45"/>
        <v>3313.44</v>
      </c>
      <c r="M152" s="120" t="s">
        <v>135</v>
      </c>
      <c r="N152" s="9" t="s">
        <v>13</v>
      </c>
      <c r="O152" s="9" t="s">
        <v>203</v>
      </c>
      <c r="P152" s="145">
        <v>36</v>
      </c>
      <c r="Q152" s="10">
        <v>8</v>
      </c>
      <c r="R152" s="10">
        <v>1</v>
      </c>
      <c r="S152" s="10"/>
      <c r="T152" s="166">
        <v>61.7</v>
      </c>
      <c r="U152" s="25">
        <v>78</v>
      </c>
      <c r="V152" s="166">
        <v>78</v>
      </c>
      <c r="W152" s="164">
        <f t="shared" si="40"/>
        <v>14.04</v>
      </c>
      <c r="X152" s="167">
        <f t="shared" si="41"/>
        <v>92.039999999999992</v>
      </c>
      <c r="Y152" s="167">
        <f t="shared" si="42"/>
        <v>3313.4399999999996</v>
      </c>
      <c r="Z152" s="95">
        <f t="shared" si="47"/>
        <v>0</v>
      </c>
    </row>
    <row r="153" spans="1:26" ht="15.75">
      <c r="A153" s="24" t="s">
        <v>134</v>
      </c>
      <c r="B153" s="9" t="s">
        <v>13</v>
      </c>
      <c r="C153" s="10">
        <v>3</v>
      </c>
      <c r="D153" s="10"/>
      <c r="E153" s="25"/>
      <c r="F153" s="25">
        <f t="shared" si="50"/>
        <v>0</v>
      </c>
      <c r="G153" s="21">
        <v>61.7</v>
      </c>
      <c r="H153" s="21">
        <f>+G153*18%</f>
        <v>11.106</v>
      </c>
      <c r="I153" s="21">
        <f t="shared" si="49"/>
        <v>72.805999999999997</v>
      </c>
      <c r="J153" s="133">
        <v>3</v>
      </c>
      <c r="K153" s="21">
        <v>72.81</v>
      </c>
      <c r="L153" s="61">
        <f t="shared" si="45"/>
        <v>218.43</v>
      </c>
      <c r="M153" s="120" t="s">
        <v>134</v>
      </c>
      <c r="N153" s="9" t="s">
        <v>13</v>
      </c>
      <c r="O153" s="9" t="s">
        <v>203</v>
      </c>
      <c r="P153" s="145">
        <v>3</v>
      </c>
      <c r="Q153" s="10"/>
      <c r="R153" s="10"/>
      <c r="S153" s="10"/>
      <c r="T153" s="166">
        <v>61.7</v>
      </c>
      <c r="U153" s="25"/>
      <c r="V153" s="166">
        <v>61.7</v>
      </c>
      <c r="W153" s="164">
        <f t="shared" si="40"/>
        <v>11.106</v>
      </c>
      <c r="X153" s="175">
        <f t="shared" si="41"/>
        <v>72.805999999999997</v>
      </c>
      <c r="Y153" s="167">
        <f t="shared" si="42"/>
        <v>218.41800000000001</v>
      </c>
      <c r="Z153" s="95">
        <f t="shared" si="47"/>
        <v>4.0000000000048885E-3</v>
      </c>
    </row>
    <row r="154" spans="1:26" ht="15.75">
      <c r="A154" s="24" t="s">
        <v>138</v>
      </c>
      <c r="B154" s="9" t="s">
        <v>13</v>
      </c>
      <c r="C154" s="10">
        <v>35</v>
      </c>
      <c r="D154" s="10">
        <v>75</v>
      </c>
      <c r="E154" s="25">
        <f>8407.5/75</f>
        <v>112.1</v>
      </c>
      <c r="F154" s="25">
        <f t="shared" si="50"/>
        <v>8407.5</v>
      </c>
      <c r="G154" s="21">
        <v>120</v>
      </c>
      <c r="H154" s="21">
        <f>+G154*18%</f>
        <v>21.599999999999998</v>
      </c>
      <c r="I154" s="21">
        <f t="shared" si="49"/>
        <v>141.6</v>
      </c>
      <c r="J154" s="133">
        <v>107</v>
      </c>
      <c r="K154" s="21">
        <v>112.1</v>
      </c>
      <c r="L154" s="61">
        <f t="shared" si="45"/>
        <v>11994.699999999999</v>
      </c>
      <c r="M154" s="137" t="s">
        <v>138</v>
      </c>
      <c r="N154" s="135" t="s">
        <v>13</v>
      </c>
      <c r="O154" s="135" t="s">
        <v>203</v>
      </c>
      <c r="P154" s="145">
        <v>107</v>
      </c>
      <c r="Q154" s="136">
        <v>75</v>
      </c>
      <c r="R154" s="136">
        <v>3</v>
      </c>
      <c r="S154" s="136"/>
      <c r="T154" s="168">
        <v>120</v>
      </c>
      <c r="U154" s="131">
        <v>95</v>
      </c>
      <c r="V154" s="168">
        <v>95</v>
      </c>
      <c r="W154" s="171">
        <f t="shared" si="40"/>
        <v>17.099999999999998</v>
      </c>
      <c r="X154" s="176">
        <f t="shared" si="41"/>
        <v>112.1</v>
      </c>
      <c r="Y154" s="168">
        <f t="shared" si="42"/>
        <v>11994.699999999999</v>
      </c>
      <c r="Z154" s="95">
        <f t="shared" si="47"/>
        <v>0</v>
      </c>
    </row>
    <row r="155" spans="1:26" ht="15.75">
      <c r="A155" s="64" t="s">
        <v>136</v>
      </c>
      <c r="B155" s="33" t="s">
        <v>31</v>
      </c>
      <c r="C155" s="15">
        <v>5</v>
      </c>
      <c r="D155" s="15"/>
      <c r="E155" s="112"/>
      <c r="F155" s="25">
        <f t="shared" si="50"/>
        <v>0</v>
      </c>
      <c r="G155" s="16">
        <v>3100</v>
      </c>
      <c r="H155" s="16">
        <f>G155*18%</f>
        <v>558</v>
      </c>
      <c r="I155" s="16">
        <f t="shared" si="49"/>
        <v>3658</v>
      </c>
      <c r="J155" s="133">
        <v>200</v>
      </c>
      <c r="K155" s="16">
        <v>73.16</v>
      </c>
      <c r="L155" s="61">
        <f t="shared" si="45"/>
        <v>14632</v>
      </c>
      <c r="M155" s="153" t="s">
        <v>136</v>
      </c>
      <c r="N155" s="76" t="s">
        <v>29</v>
      </c>
      <c r="O155" s="76" t="s">
        <v>202</v>
      </c>
      <c r="P155" s="152">
        <v>200</v>
      </c>
      <c r="Q155" s="77"/>
      <c r="R155" s="77">
        <v>1</v>
      </c>
      <c r="S155" s="77"/>
      <c r="T155" s="177">
        <v>3100</v>
      </c>
      <c r="U155" s="77"/>
      <c r="V155" s="177">
        <v>62</v>
      </c>
      <c r="W155" s="164">
        <f t="shared" si="40"/>
        <v>11.16</v>
      </c>
      <c r="X155" s="178">
        <f t="shared" si="41"/>
        <v>73.16</v>
      </c>
      <c r="Y155" s="179">
        <f t="shared" si="42"/>
        <v>14632</v>
      </c>
      <c r="Z155" s="95">
        <f t="shared" si="47"/>
        <v>0</v>
      </c>
    </row>
    <row r="156" spans="1:26" ht="15.75">
      <c r="A156" s="64" t="s">
        <v>137</v>
      </c>
      <c r="B156" s="33" t="s">
        <v>31</v>
      </c>
      <c r="C156" s="15">
        <v>4</v>
      </c>
      <c r="D156" s="15"/>
      <c r="E156" s="112"/>
      <c r="F156" s="25">
        <f t="shared" si="50"/>
        <v>0</v>
      </c>
      <c r="G156" s="16">
        <v>3100</v>
      </c>
      <c r="H156" s="16">
        <f>G156*18%</f>
        <v>558</v>
      </c>
      <c r="I156" s="16">
        <f t="shared" si="49"/>
        <v>3658</v>
      </c>
      <c r="J156" s="133">
        <v>290</v>
      </c>
      <c r="K156" s="16">
        <v>73.16</v>
      </c>
      <c r="L156" s="61">
        <f t="shared" si="45"/>
        <v>21216.399999999998</v>
      </c>
      <c r="M156" s="142" t="s">
        <v>137</v>
      </c>
      <c r="N156" s="33" t="s">
        <v>29</v>
      </c>
      <c r="O156" s="33" t="s">
        <v>202</v>
      </c>
      <c r="P156" s="145">
        <v>290</v>
      </c>
      <c r="Q156" s="15"/>
      <c r="R156" s="15">
        <v>7</v>
      </c>
      <c r="S156" s="15"/>
      <c r="T156" s="164">
        <v>3100</v>
      </c>
      <c r="U156" s="15"/>
      <c r="V156" s="164">
        <v>62</v>
      </c>
      <c r="W156" s="164">
        <f t="shared" si="40"/>
        <v>11.16</v>
      </c>
      <c r="X156" s="164">
        <f t="shared" si="41"/>
        <v>73.16</v>
      </c>
      <c r="Y156" s="164">
        <f t="shared" si="42"/>
        <v>21216.399999999998</v>
      </c>
      <c r="Z156" s="95">
        <f t="shared" si="47"/>
        <v>0</v>
      </c>
    </row>
    <row r="157" spans="1:26" ht="15.75">
      <c r="A157" s="24" t="s">
        <v>139</v>
      </c>
      <c r="B157" s="9" t="s">
        <v>13</v>
      </c>
      <c r="C157" s="10">
        <v>18</v>
      </c>
      <c r="D157" s="10"/>
      <c r="E157" s="25"/>
      <c r="F157" s="25">
        <f t="shared" si="50"/>
        <v>0</v>
      </c>
      <c r="G157" s="11">
        <v>275</v>
      </c>
      <c r="H157" s="11">
        <f>+G157*18%</f>
        <v>49.5</v>
      </c>
      <c r="I157" s="11">
        <f t="shared" si="49"/>
        <v>324.5</v>
      </c>
      <c r="J157" s="133">
        <v>15</v>
      </c>
      <c r="K157" s="11">
        <v>324.5</v>
      </c>
      <c r="L157" s="61">
        <f t="shared" si="45"/>
        <v>4867.5</v>
      </c>
      <c r="M157" s="120" t="s">
        <v>139</v>
      </c>
      <c r="N157" s="9" t="s">
        <v>13</v>
      </c>
      <c r="O157" s="9" t="s">
        <v>202</v>
      </c>
      <c r="P157" s="145">
        <v>15</v>
      </c>
      <c r="Q157" s="39"/>
      <c r="R157" s="39">
        <v>3</v>
      </c>
      <c r="S157" s="39"/>
      <c r="T157" s="180">
        <v>275</v>
      </c>
      <c r="U157" s="39"/>
      <c r="V157" s="180">
        <v>275</v>
      </c>
      <c r="W157" s="164">
        <f t="shared" si="40"/>
        <v>49.5</v>
      </c>
      <c r="X157" s="166">
        <f t="shared" si="41"/>
        <v>324.5</v>
      </c>
      <c r="Y157" s="166">
        <f t="shared" si="42"/>
        <v>4867.5</v>
      </c>
      <c r="Z157" s="95">
        <f t="shared" si="47"/>
        <v>0</v>
      </c>
    </row>
    <row r="158" spans="1:26" ht="16.5" thickBot="1">
      <c r="A158" s="24" t="s">
        <v>164</v>
      </c>
      <c r="B158" s="9" t="s">
        <v>163</v>
      </c>
      <c r="C158" s="10">
        <v>4</v>
      </c>
      <c r="D158" s="39"/>
      <c r="E158" s="114"/>
      <c r="F158" s="25">
        <f t="shared" si="50"/>
        <v>0</v>
      </c>
      <c r="G158" s="44">
        <v>1760</v>
      </c>
      <c r="H158" s="11">
        <f>+G158*18%</f>
        <v>316.8</v>
      </c>
      <c r="I158" s="11">
        <f t="shared" si="49"/>
        <v>2076.8000000000002</v>
      </c>
      <c r="J158" s="133">
        <v>3</v>
      </c>
      <c r="K158" s="11">
        <v>2076.8000000000002</v>
      </c>
      <c r="L158" s="61">
        <f t="shared" si="45"/>
        <v>6230.4000000000005</v>
      </c>
      <c r="M158" s="154" t="s">
        <v>164</v>
      </c>
      <c r="N158" s="38" t="s">
        <v>13</v>
      </c>
      <c r="O158" s="38" t="s">
        <v>202</v>
      </c>
      <c r="P158" s="152">
        <v>3</v>
      </c>
      <c r="Q158" s="39"/>
      <c r="R158" s="39"/>
      <c r="S158" s="39"/>
      <c r="T158" s="180">
        <v>1760</v>
      </c>
      <c r="U158" s="39"/>
      <c r="V158" s="180">
        <v>1760</v>
      </c>
      <c r="W158" s="164">
        <f t="shared" si="40"/>
        <v>316.8</v>
      </c>
      <c r="X158" s="180">
        <f t="shared" si="41"/>
        <v>2076.8000000000002</v>
      </c>
      <c r="Y158" s="180">
        <f t="shared" si="42"/>
        <v>6230.4000000000005</v>
      </c>
      <c r="Z158" s="95">
        <f t="shared" si="47"/>
        <v>0</v>
      </c>
    </row>
    <row r="159" spans="1:26" ht="16.5" thickBot="1">
      <c r="A159" s="24" t="s">
        <v>140</v>
      </c>
      <c r="B159" s="92" t="s">
        <v>13</v>
      </c>
      <c r="C159" s="93">
        <v>2</v>
      </c>
      <c r="D159" s="93"/>
      <c r="E159" s="117"/>
      <c r="F159" s="25">
        <f t="shared" si="50"/>
        <v>0</v>
      </c>
      <c r="G159" s="94">
        <v>250</v>
      </c>
      <c r="H159" s="94">
        <f>+G159*18%</f>
        <v>45</v>
      </c>
      <c r="I159" s="94">
        <f t="shared" si="49"/>
        <v>295</v>
      </c>
      <c r="J159" s="133">
        <v>2</v>
      </c>
      <c r="K159" s="94">
        <v>295</v>
      </c>
      <c r="L159" s="61">
        <f t="shared" si="45"/>
        <v>590</v>
      </c>
      <c r="M159" s="158" t="s">
        <v>140</v>
      </c>
      <c r="N159" s="86" t="s">
        <v>13</v>
      </c>
      <c r="O159" s="86" t="s">
        <v>202</v>
      </c>
      <c r="P159" s="160">
        <v>2</v>
      </c>
      <c r="Q159" s="184"/>
      <c r="R159" s="184"/>
      <c r="S159" s="184"/>
      <c r="T159" s="185">
        <v>250</v>
      </c>
      <c r="U159" s="184"/>
      <c r="V159" s="187">
        <v>250</v>
      </c>
      <c r="W159" s="189">
        <f t="shared" si="40"/>
        <v>45</v>
      </c>
      <c r="X159" s="185">
        <f t="shared" si="41"/>
        <v>295</v>
      </c>
      <c r="Y159" s="192">
        <f t="shared" si="42"/>
        <v>590</v>
      </c>
      <c r="Z159" s="95">
        <f t="shared" si="47"/>
        <v>0</v>
      </c>
    </row>
    <row r="160" spans="1:26">
      <c r="D160" s="118"/>
      <c r="F160" s="118">
        <f>SUM(F7:F159)</f>
        <v>425582.04</v>
      </c>
      <c r="J160" s="54">
        <f>SUM(J7:J159)</f>
        <v>17227</v>
      </c>
      <c r="L160" s="107">
        <f>SUM(L7:L159)</f>
        <v>1558549.3130000001</v>
      </c>
    </row>
    <row r="161" spans="4:25">
      <c r="F161" s="118">
        <v>20001</v>
      </c>
      <c r="M161" s="57"/>
      <c r="N161" s="57"/>
      <c r="O161" s="57"/>
      <c r="P161" s="57"/>
      <c r="Q161" s="57"/>
      <c r="R161" s="57"/>
      <c r="S161" s="57"/>
      <c r="T161" s="57"/>
      <c r="U161" s="181"/>
      <c r="V161" s="57"/>
      <c r="W161" s="57"/>
      <c r="X161" s="57"/>
      <c r="Y161" s="57"/>
    </row>
    <row r="162" spans="4:25">
      <c r="D162" s="140"/>
      <c r="F162" s="118">
        <f>SUM(F160:F161)</f>
        <v>445583.04</v>
      </c>
      <c r="M162" s="182" t="s">
        <v>149</v>
      </c>
      <c r="N162" s="38"/>
      <c r="O162" s="38"/>
      <c r="P162" s="183"/>
      <c r="Q162" s="183"/>
      <c r="R162" s="183"/>
      <c r="S162" s="183"/>
      <c r="T162" s="183"/>
      <c r="U162" s="183"/>
      <c r="V162" s="186"/>
      <c r="W162" s="188"/>
      <c r="X162" s="190"/>
      <c r="Y162" s="191">
        <f>SUM(Y1:Y153)</f>
        <v>1223759.2908000003</v>
      </c>
    </row>
    <row r="163" spans="4:25">
      <c r="F163" s="118">
        <f>F162-445583.04</f>
        <v>0</v>
      </c>
      <c r="M163" s="57"/>
      <c r="N163" s="57"/>
      <c r="O163" s="57"/>
      <c r="P163" s="156"/>
      <c r="Q163" s="57"/>
      <c r="R163" s="57"/>
      <c r="S163" s="57"/>
      <c r="T163" s="57"/>
      <c r="U163" s="57"/>
      <c r="V163" s="57"/>
      <c r="W163" s="57"/>
      <c r="X163" s="57"/>
      <c r="Y163" s="57"/>
    </row>
  </sheetData>
  <sortState xmlns:xlrd2="http://schemas.microsoft.com/office/spreadsheetml/2017/richdata2" ref="M7:Y163">
    <sortCondition ref="M7:M163"/>
  </sortState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C1F9-8792-4573-81BB-617B9A8FC456}">
  <dimension ref="A2:O163"/>
  <sheetViews>
    <sheetView workbookViewId="0">
      <selection activeCell="M13" sqref="M13"/>
    </sheetView>
  </sheetViews>
  <sheetFormatPr baseColWidth="10" defaultRowHeight="18"/>
  <cols>
    <col min="1" max="1" width="42.42578125" style="13" bestFit="1" customWidth="1"/>
    <col min="2" max="2" width="12.7109375" style="13" hidden="1" customWidth="1"/>
    <col min="3" max="4" width="12.7109375" style="54" hidden="1" customWidth="1"/>
    <col min="5" max="5" width="18.7109375" style="118" hidden="1" customWidth="1"/>
    <col min="6" max="6" width="15.85546875" style="118" hidden="1" customWidth="1"/>
    <col min="7" max="7" width="12.7109375" style="54" hidden="1" customWidth="1"/>
    <col min="8" max="8" width="15.85546875" style="54" hidden="1" customWidth="1"/>
    <col min="9" max="9" width="12.7109375" style="54" hidden="1" customWidth="1"/>
    <col min="10" max="10" width="12.7109375" style="54" customWidth="1"/>
    <col min="11" max="11" width="44.28515625" style="13" customWidth="1"/>
    <col min="12" max="13" width="12.7109375" style="13" customWidth="1"/>
    <col min="14" max="14" width="12.7109375" style="54" customWidth="1"/>
  </cols>
  <sheetData>
    <row r="2" spans="1:15">
      <c r="J2" s="54">
        <f>25*12</f>
        <v>300</v>
      </c>
    </row>
    <row r="3" spans="1:15" ht="15">
      <c r="A3"/>
      <c r="B3"/>
      <c r="C3"/>
      <c r="D3"/>
      <c r="E3" s="110"/>
      <c r="F3" s="110"/>
      <c r="G3"/>
      <c r="H3"/>
      <c r="I3"/>
      <c r="J3"/>
      <c r="K3"/>
      <c r="L3"/>
      <c r="M3"/>
      <c r="N3"/>
    </row>
    <row r="4" spans="1:15" ht="15">
      <c r="A4"/>
      <c r="B4"/>
      <c r="C4"/>
      <c r="D4"/>
      <c r="E4" s="110"/>
      <c r="F4" s="110"/>
      <c r="G4"/>
      <c r="H4"/>
      <c r="I4"/>
      <c r="J4"/>
      <c r="K4"/>
      <c r="L4"/>
      <c r="M4"/>
      <c r="N4"/>
    </row>
    <row r="5" spans="1:15" ht="15.75" thickBot="1">
      <c r="A5"/>
      <c r="B5"/>
      <c r="C5"/>
      <c r="D5"/>
      <c r="E5" s="110"/>
      <c r="F5" s="110"/>
      <c r="G5"/>
      <c r="H5"/>
      <c r="I5"/>
      <c r="J5"/>
      <c r="K5"/>
      <c r="L5"/>
      <c r="M5"/>
      <c r="N5"/>
    </row>
    <row r="6" spans="1:15" ht="32.25" thickBot="1">
      <c r="A6" s="3" t="s">
        <v>0</v>
      </c>
      <c r="B6" s="99" t="s">
        <v>1</v>
      </c>
      <c r="C6" s="5" t="s">
        <v>188</v>
      </c>
      <c r="D6" s="5" t="s">
        <v>171</v>
      </c>
      <c r="E6" s="111" t="s">
        <v>172</v>
      </c>
      <c r="F6" s="111" t="s">
        <v>189</v>
      </c>
      <c r="G6" s="5" t="s">
        <v>3</v>
      </c>
      <c r="H6" s="100" t="s">
        <v>4</v>
      </c>
      <c r="I6" s="101" t="s">
        <v>5</v>
      </c>
      <c r="J6" s="99" t="s">
        <v>190</v>
      </c>
      <c r="K6" s="3" t="s">
        <v>0</v>
      </c>
      <c r="L6" s="4" t="s">
        <v>1</v>
      </c>
      <c r="M6" s="5" t="s">
        <v>200</v>
      </c>
      <c r="N6" s="5" t="s">
        <v>2</v>
      </c>
    </row>
    <row r="7" spans="1:15" ht="15.75">
      <c r="A7" s="18" t="s">
        <v>10</v>
      </c>
      <c r="B7" s="60" t="s">
        <v>11</v>
      </c>
      <c r="C7" s="15">
        <v>41</v>
      </c>
      <c r="D7" s="15"/>
      <c r="E7" s="112"/>
      <c r="F7" s="112"/>
      <c r="G7" s="16">
        <v>150</v>
      </c>
      <c r="H7" s="61">
        <f>G7*18%</f>
        <v>27</v>
      </c>
      <c r="I7" s="61">
        <f>H7+G7</f>
        <v>177</v>
      </c>
      <c r="J7" s="129">
        <v>16</v>
      </c>
      <c r="K7" s="142" t="s">
        <v>10</v>
      </c>
      <c r="L7" s="14" t="s">
        <v>11</v>
      </c>
      <c r="M7" s="14" t="s">
        <v>201</v>
      </c>
      <c r="N7" s="129">
        <v>16</v>
      </c>
      <c r="O7">
        <f>J7-N7</f>
        <v>0</v>
      </c>
    </row>
    <row r="8" spans="1:15" ht="15.75">
      <c r="A8" s="64" t="s">
        <v>12</v>
      </c>
      <c r="B8" s="60" t="s">
        <v>13</v>
      </c>
      <c r="C8" s="15">
        <v>25</v>
      </c>
      <c r="D8" s="15"/>
      <c r="E8" s="112"/>
      <c r="F8" s="112"/>
      <c r="G8" s="16">
        <v>60</v>
      </c>
      <c r="H8" s="61">
        <v>0</v>
      </c>
      <c r="I8" s="61">
        <f>H8+G8</f>
        <v>60</v>
      </c>
      <c r="J8" s="129">
        <v>3</v>
      </c>
      <c r="K8" s="142" t="s">
        <v>12</v>
      </c>
      <c r="L8" s="14" t="s">
        <v>13</v>
      </c>
      <c r="M8" s="14" t="s">
        <v>201</v>
      </c>
      <c r="N8" s="129">
        <v>3</v>
      </c>
      <c r="O8">
        <f t="shared" ref="O8:O71" si="0">J8-N8</f>
        <v>0</v>
      </c>
    </row>
    <row r="9" spans="1:15" ht="15.75">
      <c r="A9" s="24" t="s">
        <v>8</v>
      </c>
      <c r="B9" s="9" t="s">
        <v>9</v>
      </c>
      <c r="C9" s="10">
        <v>6</v>
      </c>
      <c r="D9" s="10"/>
      <c r="E9" s="25"/>
      <c r="F9" s="25"/>
      <c r="G9" s="11">
        <v>700</v>
      </c>
      <c r="H9" s="104">
        <f>+G9*18%</f>
        <v>126</v>
      </c>
      <c r="I9" s="104">
        <f>H9+G9</f>
        <v>826</v>
      </c>
      <c r="J9" s="136">
        <v>6</v>
      </c>
      <c r="K9" s="123" t="s">
        <v>8</v>
      </c>
      <c r="L9" s="9" t="s">
        <v>9</v>
      </c>
      <c r="M9" s="9" t="s">
        <v>202</v>
      </c>
      <c r="N9" s="136">
        <v>6</v>
      </c>
      <c r="O9">
        <f t="shared" si="0"/>
        <v>0</v>
      </c>
    </row>
    <row r="10" spans="1:15" ht="15.75">
      <c r="A10" s="123" t="s">
        <v>181</v>
      </c>
      <c r="B10" s="20" t="s">
        <v>13</v>
      </c>
      <c r="C10" s="10"/>
      <c r="D10" s="10">
        <v>20</v>
      </c>
      <c r="E10" s="25">
        <f>17110/D10</f>
        <v>855.5</v>
      </c>
      <c r="F10" s="25">
        <f>D10*E10</f>
        <v>17110</v>
      </c>
      <c r="G10" s="11"/>
      <c r="H10" s="104"/>
      <c r="I10" s="104"/>
      <c r="J10" s="133">
        <v>20</v>
      </c>
      <c r="K10" s="123" t="s">
        <v>181</v>
      </c>
      <c r="L10" s="20" t="s">
        <v>13</v>
      </c>
      <c r="M10" s="20" t="s">
        <v>203</v>
      </c>
      <c r="N10" s="133">
        <v>20</v>
      </c>
      <c r="O10">
        <f t="shared" si="0"/>
        <v>0</v>
      </c>
    </row>
    <row r="11" spans="1:15" ht="15.75">
      <c r="A11" s="64" t="s">
        <v>15</v>
      </c>
      <c r="B11" s="14" t="s">
        <v>13</v>
      </c>
      <c r="C11" s="15">
        <v>17</v>
      </c>
      <c r="D11" s="15"/>
      <c r="E11" s="112"/>
      <c r="F11" s="25">
        <f>D11*E11</f>
        <v>0</v>
      </c>
      <c r="G11" s="16">
        <v>265</v>
      </c>
      <c r="H11" s="61">
        <f>G11*18%</f>
        <v>47.699999999999996</v>
      </c>
      <c r="I11" s="61">
        <f>H11+G11</f>
        <v>312.7</v>
      </c>
      <c r="J11" s="133">
        <v>9</v>
      </c>
      <c r="K11" s="143" t="s">
        <v>15</v>
      </c>
      <c r="L11" s="60" t="s">
        <v>13</v>
      </c>
      <c r="M11" s="60" t="s">
        <v>201</v>
      </c>
      <c r="N11" s="144">
        <v>9</v>
      </c>
      <c r="O11">
        <f t="shared" si="0"/>
        <v>0</v>
      </c>
    </row>
    <row r="12" spans="1:15" ht="15.75">
      <c r="A12" s="137" t="s">
        <v>197</v>
      </c>
      <c r="B12" s="135"/>
      <c r="C12" s="136"/>
      <c r="D12" s="10"/>
      <c r="E12" s="25"/>
      <c r="F12" s="25"/>
      <c r="G12" s="21"/>
      <c r="H12" s="22"/>
      <c r="I12" s="22"/>
      <c r="J12" s="133">
        <v>20</v>
      </c>
      <c r="K12" s="123" t="s">
        <v>197</v>
      </c>
      <c r="L12" s="20" t="s">
        <v>13</v>
      </c>
      <c r="M12" s="20" t="s">
        <v>203</v>
      </c>
      <c r="N12" s="136">
        <v>20</v>
      </c>
      <c r="O12">
        <f t="shared" si="0"/>
        <v>0</v>
      </c>
    </row>
    <row r="13" spans="1:15" ht="15.75">
      <c r="A13" s="141" t="s">
        <v>196</v>
      </c>
      <c r="B13" s="135" t="s">
        <v>13</v>
      </c>
      <c r="C13" s="136">
        <v>19</v>
      </c>
      <c r="D13" s="10">
        <v>20</v>
      </c>
      <c r="E13" s="25">
        <f>41300/20</f>
        <v>2065</v>
      </c>
      <c r="F13" s="25">
        <f>D13*E13</f>
        <v>41300</v>
      </c>
      <c r="G13" s="21">
        <v>1467.12</v>
      </c>
      <c r="H13" s="22">
        <f>+G13*18%</f>
        <v>264.08159999999998</v>
      </c>
      <c r="I13" s="22">
        <f>H13+G13</f>
        <v>1731.2015999999999</v>
      </c>
      <c r="J13" s="133">
        <v>22</v>
      </c>
      <c r="K13" s="123" t="s">
        <v>196</v>
      </c>
      <c r="L13" s="20" t="s">
        <v>13</v>
      </c>
      <c r="M13" s="20" t="s">
        <v>203</v>
      </c>
      <c r="N13" s="136">
        <v>22</v>
      </c>
      <c r="O13">
        <f t="shared" si="0"/>
        <v>0</v>
      </c>
    </row>
    <row r="14" spans="1:15" ht="15.75">
      <c r="A14" s="119" t="s">
        <v>17</v>
      </c>
      <c r="B14" s="135" t="s">
        <v>13</v>
      </c>
      <c r="C14" s="136">
        <v>7</v>
      </c>
      <c r="D14" s="10"/>
      <c r="E14" s="25"/>
      <c r="F14" s="25">
        <f>D14*E14</f>
        <v>0</v>
      </c>
      <c r="G14" s="21">
        <v>855</v>
      </c>
      <c r="H14" s="22">
        <f>+G14*18%</f>
        <v>153.9</v>
      </c>
      <c r="I14" s="22">
        <f>H14+G14</f>
        <v>1008.9</v>
      </c>
      <c r="J14" s="133">
        <v>7</v>
      </c>
      <c r="K14" s="120" t="s">
        <v>17</v>
      </c>
      <c r="L14" s="20" t="s">
        <v>13</v>
      </c>
      <c r="M14" s="20" t="s">
        <v>203</v>
      </c>
      <c r="N14" s="136">
        <v>7</v>
      </c>
      <c r="O14">
        <f t="shared" si="0"/>
        <v>0</v>
      </c>
    </row>
    <row r="15" spans="1:15" ht="15.75">
      <c r="A15" s="24" t="s">
        <v>169</v>
      </c>
      <c r="B15" s="9" t="s">
        <v>13</v>
      </c>
      <c r="C15" s="10">
        <v>30</v>
      </c>
      <c r="D15" s="10"/>
      <c r="E15" s="25"/>
      <c r="F15" s="25">
        <f>D15*E15</f>
        <v>0</v>
      </c>
      <c r="G15" s="11">
        <v>185</v>
      </c>
      <c r="H15" s="104">
        <f>+G15*18%</f>
        <v>33.299999999999997</v>
      </c>
      <c r="I15" s="104">
        <f>H15+G15</f>
        <v>218.3</v>
      </c>
      <c r="J15" s="133">
        <v>30</v>
      </c>
      <c r="K15" s="120" t="s">
        <v>204</v>
      </c>
      <c r="L15" s="9" t="s">
        <v>13</v>
      </c>
      <c r="M15" s="9" t="s">
        <v>202</v>
      </c>
      <c r="N15" s="136">
        <v>30</v>
      </c>
      <c r="O15">
        <f t="shared" si="0"/>
        <v>0</v>
      </c>
    </row>
    <row r="16" spans="1:15" ht="15.75">
      <c r="A16" s="134" t="s">
        <v>191</v>
      </c>
      <c r="B16" s="135" t="s">
        <v>13</v>
      </c>
      <c r="C16" s="9" t="s">
        <v>192</v>
      </c>
      <c r="D16" s="10">
        <v>9</v>
      </c>
      <c r="E16" s="25"/>
      <c r="F16" s="25"/>
      <c r="G16" s="11"/>
      <c r="H16" s="104"/>
      <c r="I16" s="104"/>
      <c r="J16" s="133">
        <v>9</v>
      </c>
      <c r="K16" s="134" t="s">
        <v>191</v>
      </c>
      <c r="L16" s="135" t="s">
        <v>13</v>
      </c>
      <c r="M16" s="9" t="s">
        <v>192</v>
      </c>
      <c r="N16" s="136">
        <v>9</v>
      </c>
      <c r="O16">
        <f t="shared" si="0"/>
        <v>0</v>
      </c>
    </row>
    <row r="17" spans="1:15" ht="15.75">
      <c r="A17" s="24" t="s">
        <v>170</v>
      </c>
      <c r="B17" s="9" t="s">
        <v>13</v>
      </c>
      <c r="C17" s="10"/>
      <c r="D17" s="10">
        <v>60</v>
      </c>
      <c r="E17" s="25">
        <f>531/60</f>
        <v>8.85</v>
      </c>
      <c r="F17" s="25">
        <f t="shared" ref="F17:F23" si="1">D17*E17</f>
        <v>531</v>
      </c>
      <c r="G17" s="11"/>
      <c r="H17" s="104"/>
      <c r="I17" s="104"/>
      <c r="J17" s="133">
        <v>44</v>
      </c>
      <c r="K17" s="142" t="s">
        <v>205</v>
      </c>
      <c r="L17" s="14" t="s">
        <v>13</v>
      </c>
      <c r="M17" s="14" t="s">
        <v>203</v>
      </c>
      <c r="N17" s="129">
        <v>44</v>
      </c>
      <c r="O17">
        <f t="shared" si="0"/>
        <v>0</v>
      </c>
    </row>
    <row r="18" spans="1:15" ht="15.75">
      <c r="A18" s="127" t="s">
        <v>18</v>
      </c>
      <c r="B18" s="128" t="s">
        <v>13</v>
      </c>
      <c r="C18" s="129">
        <v>28</v>
      </c>
      <c r="D18" s="129"/>
      <c r="E18" s="130"/>
      <c r="F18" s="131">
        <f t="shared" si="1"/>
        <v>0</v>
      </c>
      <c r="G18" s="130">
        <v>350</v>
      </c>
      <c r="H18" s="132">
        <f>G18*18%</f>
        <v>63</v>
      </c>
      <c r="I18" s="132">
        <f>H18+G18</f>
        <v>413</v>
      </c>
      <c r="J18" s="133">
        <v>28</v>
      </c>
      <c r="K18" s="142" t="s">
        <v>18</v>
      </c>
      <c r="L18" s="14" t="s">
        <v>13</v>
      </c>
      <c r="M18" s="14" t="s">
        <v>201</v>
      </c>
      <c r="N18" s="129">
        <v>28</v>
      </c>
      <c r="O18">
        <f t="shared" si="0"/>
        <v>0</v>
      </c>
    </row>
    <row r="19" spans="1:15" ht="15.75">
      <c r="A19" s="24" t="s">
        <v>19</v>
      </c>
      <c r="B19" s="9" t="s">
        <v>13</v>
      </c>
      <c r="C19" s="10">
        <v>41</v>
      </c>
      <c r="D19" s="10"/>
      <c r="E19" s="25"/>
      <c r="F19" s="25">
        <f t="shared" si="1"/>
        <v>0</v>
      </c>
      <c r="G19" s="11">
        <v>25</v>
      </c>
      <c r="H19" s="104">
        <f>+G19*18%</f>
        <v>4.5</v>
      </c>
      <c r="I19" s="104">
        <f>H19+G19</f>
        <v>29.5</v>
      </c>
      <c r="J19" s="133">
        <v>29</v>
      </c>
      <c r="K19" s="142" t="s">
        <v>206</v>
      </c>
      <c r="L19" s="14" t="s">
        <v>13</v>
      </c>
      <c r="M19" s="14" t="s">
        <v>202</v>
      </c>
      <c r="N19" s="129">
        <v>29</v>
      </c>
      <c r="O19">
        <f t="shared" si="0"/>
        <v>0</v>
      </c>
    </row>
    <row r="20" spans="1:15" ht="15.75">
      <c r="A20" s="24" t="s">
        <v>20</v>
      </c>
      <c r="B20" s="9" t="s">
        <v>13</v>
      </c>
      <c r="C20" s="10">
        <v>2</v>
      </c>
      <c r="D20" s="10"/>
      <c r="E20" s="25"/>
      <c r="F20" s="25">
        <f t="shared" si="1"/>
        <v>0</v>
      </c>
      <c r="G20" s="11">
        <v>15</v>
      </c>
      <c r="H20" s="104">
        <f>+G20*18%</f>
        <v>2.6999999999999997</v>
      </c>
      <c r="I20" s="104">
        <f>H20+G20</f>
        <v>17.7</v>
      </c>
      <c r="J20" s="102"/>
      <c r="K20" s="142"/>
      <c r="L20" s="14"/>
      <c r="M20" s="14"/>
      <c r="N20" s="129"/>
      <c r="O20">
        <f t="shared" si="0"/>
        <v>0</v>
      </c>
    </row>
    <row r="21" spans="1:15" ht="15.75">
      <c r="A21" s="24" t="s">
        <v>21</v>
      </c>
      <c r="B21" s="9" t="s">
        <v>13</v>
      </c>
      <c r="C21" s="10">
        <v>2</v>
      </c>
      <c r="D21" s="10"/>
      <c r="E21" s="25"/>
      <c r="F21" s="25">
        <f t="shared" si="1"/>
        <v>0</v>
      </c>
      <c r="G21" s="21">
        <v>3250</v>
      </c>
      <c r="H21" s="22">
        <f>+G21*18%</f>
        <v>585</v>
      </c>
      <c r="I21" s="22">
        <f>H21+G21</f>
        <v>3835</v>
      </c>
      <c r="J21" s="133">
        <v>2</v>
      </c>
      <c r="K21" s="120" t="s">
        <v>21</v>
      </c>
      <c r="L21" s="14" t="s">
        <v>13</v>
      </c>
      <c r="M21" s="9" t="s">
        <v>203</v>
      </c>
      <c r="N21" s="136">
        <v>2</v>
      </c>
      <c r="O21">
        <f t="shared" si="0"/>
        <v>0</v>
      </c>
    </row>
    <row r="22" spans="1:15" ht="15.75">
      <c r="A22" s="120" t="s">
        <v>182</v>
      </c>
      <c r="B22" s="9" t="s">
        <v>13</v>
      </c>
      <c r="C22" s="10"/>
      <c r="D22" s="10">
        <v>3</v>
      </c>
      <c r="E22" s="25">
        <f>11505/D22</f>
        <v>3835</v>
      </c>
      <c r="F22" s="25">
        <f t="shared" si="1"/>
        <v>11505</v>
      </c>
      <c r="G22" s="21"/>
      <c r="H22" s="22"/>
      <c r="I22" s="22"/>
      <c r="J22" s="133">
        <v>3</v>
      </c>
      <c r="K22" s="120" t="s">
        <v>182</v>
      </c>
      <c r="L22" s="9" t="s">
        <v>13</v>
      </c>
      <c r="M22" s="9" t="s">
        <v>203</v>
      </c>
      <c r="N22" s="136">
        <v>3</v>
      </c>
      <c r="O22">
        <f t="shared" si="0"/>
        <v>0</v>
      </c>
    </row>
    <row r="23" spans="1:15" ht="15.75">
      <c r="A23" s="64" t="s">
        <v>22</v>
      </c>
      <c r="B23" s="14" t="s">
        <v>13</v>
      </c>
      <c r="C23" s="15">
        <v>360</v>
      </c>
      <c r="D23" s="15"/>
      <c r="E23" s="112"/>
      <c r="F23" s="25">
        <f t="shared" si="1"/>
        <v>0</v>
      </c>
      <c r="G23" s="16">
        <v>256</v>
      </c>
      <c r="H23" s="61">
        <f>G23*18%</f>
        <v>46.08</v>
      </c>
      <c r="I23" s="61">
        <f>H23+G23</f>
        <v>302.08</v>
      </c>
      <c r="J23" s="133">
        <v>300</v>
      </c>
      <c r="K23" s="142" t="s">
        <v>22</v>
      </c>
      <c r="L23" s="14" t="s">
        <v>13</v>
      </c>
      <c r="M23" s="14" t="s">
        <v>201</v>
      </c>
      <c r="N23" s="129">
        <v>300</v>
      </c>
      <c r="O23">
        <f t="shared" si="0"/>
        <v>0</v>
      </c>
    </row>
    <row r="24" spans="1:15" ht="15.75">
      <c r="A24" s="123" t="s">
        <v>193</v>
      </c>
      <c r="B24" s="14"/>
      <c r="C24" s="15"/>
      <c r="D24" s="15"/>
      <c r="E24" s="112"/>
      <c r="F24" s="25"/>
      <c r="G24" s="16"/>
      <c r="H24" s="61"/>
      <c r="I24" s="61"/>
      <c r="J24" s="133">
        <v>4</v>
      </c>
      <c r="K24" s="123" t="s">
        <v>193</v>
      </c>
      <c r="L24" s="124" t="s">
        <v>194</v>
      </c>
      <c r="M24" s="124" t="s">
        <v>192</v>
      </c>
      <c r="N24" s="136">
        <v>4</v>
      </c>
      <c r="O24">
        <f t="shared" si="0"/>
        <v>0</v>
      </c>
    </row>
    <row r="25" spans="1:15" ht="15.75">
      <c r="A25" s="24" t="s">
        <v>23</v>
      </c>
      <c r="B25" s="9" t="s">
        <v>13</v>
      </c>
      <c r="C25" s="10">
        <v>3</v>
      </c>
      <c r="D25" s="10"/>
      <c r="E25" s="25"/>
      <c r="F25" s="25">
        <f t="shared" ref="F25:F33" si="2">D25*E25</f>
        <v>0</v>
      </c>
      <c r="G25" s="21">
        <v>2500</v>
      </c>
      <c r="H25" s="22">
        <f>+G25*18%</f>
        <v>450</v>
      </c>
      <c r="I25" s="22">
        <f>H25+G25</f>
        <v>2950</v>
      </c>
      <c r="J25" s="133">
        <v>3</v>
      </c>
      <c r="K25" s="123" t="s">
        <v>23</v>
      </c>
      <c r="L25" s="9" t="s">
        <v>13</v>
      </c>
      <c r="M25" s="9" t="s">
        <v>203</v>
      </c>
      <c r="N25" s="136">
        <v>3</v>
      </c>
      <c r="O25">
        <f t="shared" si="0"/>
        <v>0</v>
      </c>
    </row>
    <row r="26" spans="1:15" ht="15.75">
      <c r="A26" s="24" t="s">
        <v>24</v>
      </c>
      <c r="B26" s="9" t="s">
        <v>13</v>
      </c>
      <c r="C26" s="10">
        <v>16</v>
      </c>
      <c r="D26" s="10"/>
      <c r="E26" s="25"/>
      <c r="F26" s="25">
        <f t="shared" si="2"/>
        <v>0</v>
      </c>
      <c r="G26" s="25">
        <v>218</v>
      </c>
      <c r="H26" s="22">
        <f>+G26*18%</f>
        <v>39.24</v>
      </c>
      <c r="I26" s="22">
        <f>H26+G26</f>
        <v>257.24</v>
      </c>
      <c r="J26" s="133">
        <v>23</v>
      </c>
      <c r="K26" s="120" t="s">
        <v>24</v>
      </c>
      <c r="L26" s="9" t="s">
        <v>13</v>
      </c>
      <c r="M26" s="9" t="s">
        <v>203</v>
      </c>
      <c r="N26" s="136">
        <v>23</v>
      </c>
      <c r="O26">
        <f t="shared" si="0"/>
        <v>0</v>
      </c>
    </row>
    <row r="27" spans="1:15" ht="15.75">
      <c r="A27" s="123" t="s">
        <v>178</v>
      </c>
      <c r="B27" s="124" t="s">
        <v>13</v>
      </c>
      <c r="C27" s="10"/>
      <c r="D27" s="10">
        <v>15</v>
      </c>
      <c r="E27" s="25">
        <f>6195/15</f>
        <v>413</v>
      </c>
      <c r="F27" s="25">
        <f t="shared" si="2"/>
        <v>6195</v>
      </c>
      <c r="G27" s="25"/>
      <c r="H27" s="22"/>
      <c r="I27" s="22"/>
      <c r="J27" s="133">
        <v>15</v>
      </c>
      <c r="K27" s="120" t="s">
        <v>178</v>
      </c>
      <c r="L27" s="124" t="s">
        <v>13</v>
      </c>
      <c r="M27" s="124" t="s">
        <v>203</v>
      </c>
      <c r="N27" s="136">
        <v>15</v>
      </c>
      <c r="O27">
        <f t="shared" si="0"/>
        <v>0</v>
      </c>
    </row>
    <row r="28" spans="1:15" ht="15.75">
      <c r="A28" s="119" t="s">
        <v>25</v>
      </c>
      <c r="B28" s="9" t="s">
        <v>13</v>
      </c>
      <c r="C28" s="10">
        <v>2</v>
      </c>
      <c r="D28" s="10">
        <v>10</v>
      </c>
      <c r="E28" s="25">
        <f>3304/10</f>
        <v>330.4</v>
      </c>
      <c r="F28" s="25">
        <f t="shared" si="2"/>
        <v>3304</v>
      </c>
      <c r="G28" s="21">
        <v>205.67</v>
      </c>
      <c r="H28" s="22">
        <f>+G28*18%</f>
        <v>37.020599999999995</v>
      </c>
      <c r="I28" s="22">
        <f>H28+G28</f>
        <v>242.69059999999999</v>
      </c>
      <c r="J28" s="133">
        <v>6</v>
      </c>
      <c r="K28" s="120" t="s">
        <v>207</v>
      </c>
      <c r="L28" s="9" t="s">
        <v>13</v>
      </c>
      <c r="M28" s="9" t="s">
        <v>203</v>
      </c>
      <c r="N28" s="136">
        <v>6</v>
      </c>
      <c r="O28">
        <f t="shared" si="0"/>
        <v>0</v>
      </c>
    </row>
    <row r="29" spans="1:15" ht="15.75">
      <c r="A29" s="24" t="s">
        <v>173</v>
      </c>
      <c r="B29" s="9" t="s">
        <v>13</v>
      </c>
      <c r="C29" s="10"/>
      <c r="D29" s="10">
        <v>30</v>
      </c>
      <c r="E29" s="25">
        <f>12390/30</f>
        <v>413</v>
      </c>
      <c r="F29" s="25">
        <f t="shared" si="2"/>
        <v>12390</v>
      </c>
      <c r="G29" s="21"/>
      <c r="H29" s="22"/>
      <c r="I29" s="22"/>
      <c r="J29" s="133">
        <v>23</v>
      </c>
      <c r="K29" s="120" t="s">
        <v>208</v>
      </c>
      <c r="L29" s="9" t="s">
        <v>13</v>
      </c>
      <c r="M29" s="9" t="s">
        <v>203</v>
      </c>
      <c r="N29" s="136">
        <v>23</v>
      </c>
      <c r="O29">
        <f t="shared" si="0"/>
        <v>0</v>
      </c>
    </row>
    <row r="30" spans="1:15" ht="15.75">
      <c r="A30" s="24" t="s">
        <v>26</v>
      </c>
      <c r="B30" s="9" t="s">
        <v>13</v>
      </c>
      <c r="C30" s="10">
        <v>19</v>
      </c>
      <c r="D30" s="10"/>
      <c r="E30" s="25"/>
      <c r="F30" s="25">
        <f t="shared" si="2"/>
        <v>0</v>
      </c>
      <c r="G30" s="21">
        <v>69.17</v>
      </c>
      <c r="H30" s="22">
        <f>+G30*18%</f>
        <v>12.4506</v>
      </c>
      <c r="I30" s="22">
        <f>H30+G30</f>
        <v>81.620599999999996</v>
      </c>
      <c r="J30" s="133">
        <v>15</v>
      </c>
      <c r="K30" s="120" t="s">
        <v>26</v>
      </c>
      <c r="L30" s="9" t="s">
        <v>13</v>
      </c>
      <c r="M30" s="9" t="s">
        <v>203</v>
      </c>
      <c r="N30" s="136">
        <v>15</v>
      </c>
      <c r="O30">
        <f t="shared" si="0"/>
        <v>0</v>
      </c>
    </row>
    <row r="31" spans="1:15" ht="15.75">
      <c r="A31" s="24" t="s">
        <v>27</v>
      </c>
      <c r="B31" s="9" t="s">
        <v>13</v>
      </c>
      <c r="C31" s="10">
        <v>17</v>
      </c>
      <c r="D31" s="10"/>
      <c r="E31" s="25"/>
      <c r="F31" s="25">
        <f t="shared" si="2"/>
        <v>0</v>
      </c>
      <c r="G31" s="11">
        <v>55</v>
      </c>
      <c r="H31" s="104">
        <f>+G31*18%</f>
        <v>9.9</v>
      </c>
      <c r="I31" s="104">
        <f>H31+G31</f>
        <v>64.900000000000006</v>
      </c>
      <c r="J31" s="133">
        <v>4</v>
      </c>
      <c r="K31" s="120" t="s">
        <v>27</v>
      </c>
      <c r="L31" s="9" t="s">
        <v>13</v>
      </c>
      <c r="M31" s="9" t="s">
        <v>202</v>
      </c>
      <c r="N31" s="136">
        <v>4</v>
      </c>
      <c r="O31">
        <f t="shared" si="0"/>
        <v>0</v>
      </c>
    </row>
    <row r="32" spans="1:15" ht="15.75">
      <c r="A32" s="24" t="s">
        <v>28</v>
      </c>
      <c r="B32" s="9" t="s">
        <v>29</v>
      </c>
      <c r="C32" s="10">
        <v>16</v>
      </c>
      <c r="D32" s="10">
        <v>10</v>
      </c>
      <c r="E32" s="25">
        <f>1770/D32</f>
        <v>177</v>
      </c>
      <c r="F32" s="25">
        <f t="shared" si="2"/>
        <v>1770</v>
      </c>
      <c r="G32" s="21">
        <v>57.29</v>
      </c>
      <c r="H32" s="22">
        <f>+G32*18%</f>
        <v>10.312199999999999</v>
      </c>
      <c r="I32" s="22">
        <f>H32+G32</f>
        <v>67.602199999999996</v>
      </c>
      <c r="J32" s="133">
        <v>26</v>
      </c>
      <c r="K32" s="120" t="s">
        <v>28</v>
      </c>
      <c r="L32" s="9" t="s">
        <v>29</v>
      </c>
      <c r="M32" s="9" t="s">
        <v>203</v>
      </c>
      <c r="N32" s="145">
        <v>26</v>
      </c>
      <c r="O32">
        <f t="shared" si="0"/>
        <v>0</v>
      </c>
    </row>
    <row r="33" spans="1:15" ht="15.75">
      <c r="A33" s="24" t="s">
        <v>33</v>
      </c>
      <c r="B33" s="9" t="s">
        <v>31</v>
      </c>
      <c r="C33" s="10">
        <v>13</v>
      </c>
      <c r="D33" s="10"/>
      <c r="E33" s="25"/>
      <c r="F33" s="25">
        <f t="shared" si="2"/>
        <v>0</v>
      </c>
      <c r="G33" s="21">
        <v>26.96</v>
      </c>
      <c r="H33" s="22">
        <f>+G33*18%</f>
        <v>4.8528000000000002</v>
      </c>
      <c r="I33" s="22">
        <f>H33+G33</f>
        <v>31.812800000000003</v>
      </c>
      <c r="J33" s="133">
        <v>8</v>
      </c>
      <c r="K33" s="120" t="s">
        <v>33</v>
      </c>
      <c r="L33" s="9" t="s">
        <v>31</v>
      </c>
      <c r="M33" s="9" t="s">
        <v>203</v>
      </c>
      <c r="N33" s="145">
        <v>8</v>
      </c>
      <c r="O33">
        <f t="shared" si="0"/>
        <v>0</v>
      </c>
    </row>
    <row r="34" spans="1:15" ht="15.75">
      <c r="A34" s="120" t="s">
        <v>199</v>
      </c>
      <c r="B34" s="9"/>
      <c r="C34" s="10"/>
      <c r="D34" s="10"/>
      <c r="E34" s="25"/>
      <c r="F34" s="25"/>
      <c r="G34" s="21"/>
      <c r="H34" s="22"/>
      <c r="I34" s="22"/>
      <c r="J34" s="133">
        <v>20</v>
      </c>
      <c r="K34" s="120" t="s">
        <v>199</v>
      </c>
      <c r="L34" s="9" t="s">
        <v>31</v>
      </c>
      <c r="M34" s="9" t="s">
        <v>203</v>
      </c>
      <c r="N34" s="10">
        <v>20</v>
      </c>
      <c r="O34">
        <f t="shared" si="0"/>
        <v>0</v>
      </c>
    </row>
    <row r="35" spans="1:15" ht="15.75">
      <c r="A35" s="24" t="s">
        <v>34</v>
      </c>
      <c r="B35" s="9" t="s">
        <v>31</v>
      </c>
      <c r="C35" s="10">
        <v>18</v>
      </c>
      <c r="D35" s="10">
        <v>20</v>
      </c>
      <c r="E35" s="25">
        <f>4248/D35</f>
        <v>212.4</v>
      </c>
      <c r="F35" s="25">
        <f t="shared" ref="F35:F70" si="3">D35*E35</f>
        <v>4248</v>
      </c>
      <c r="G35" s="21">
        <v>122.14</v>
      </c>
      <c r="H35" s="22">
        <f>+G35*18%</f>
        <v>21.985199999999999</v>
      </c>
      <c r="I35" s="22">
        <f>H35+G35</f>
        <v>144.12520000000001</v>
      </c>
      <c r="J35" s="133">
        <v>33</v>
      </c>
      <c r="K35" s="120" t="s">
        <v>34</v>
      </c>
      <c r="L35" s="9" t="s">
        <v>31</v>
      </c>
      <c r="M35" s="9" t="s">
        <v>203</v>
      </c>
      <c r="N35" s="136">
        <v>33</v>
      </c>
      <c r="O35">
        <f t="shared" si="0"/>
        <v>0</v>
      </c>
    </row>
    <row r="36" spans="1:15" ht="15.75">
      <c r="A36" s="24" t="s">
        <v>35</v>
      </c>
      <c r="B36" s="9" t="s">
        <v>31</v>
      </c>
      <c r="C36" s="10">
        <v>36</v>
      </c>
      <c r="D36" s="10">
        <v>15</v>
      </c>
      <c r="E36" s="25">
        <f>3717/D36</f>
        <v>247.8</v>
      </c>
      <c r="F36" s="25">
        <f t="shared" si="3"/>
        <v>3717</v>
      </c>
      <c r="G36" s="21">
        <v>176.15</v>
      </c>
      <c r="H36" s="22">
        <f>+G36*18%</f>
        <v>31.707000000000001</v>
      </c>
      <c r="I36" s="22">
        <f>H36+G36</f>
        <v>207.857</v>
      </c>
      <c r="J36" s="133">
        <v>33</v>
      </c>
      <c r="K36" s="120" t="s">
        <v>35</v>
      </c>
      <c r="L36" s="9" t="s">
        <v>31</v>
      </c>
      <c r="M36" s="9" t="s">
        <v>203</v>
      </c>
      <c r="N36" s="136">
        <v>33</v>
      </c>
      <c r="O36">
        <f t="shared" si="0"/>
        <v>0</v>
      </c>
    </row>
    <row r="37" spans="1:15" ht="15.75">
      <c r="A37" s="119" t="s">
        <v>32</v>
      </c>
      <c r="B37" s="135" t="s">
        <v>31</v>
      </c>
      <c r="C37" s="136">
        <v>44</v>
      </c>
      <c r="D37" s="10"/>
      <c r="E37" s="25"/>
      <c r="F37" s="25">
        <f t="shared" si="3"/>
        <v>0</v>
      </c>
      <c r="G37" s="21">
        <v>53</v>
      </c>
      <c r="H37" s="22">
        <f>+G37*18%</f>
        <v>9.5399999999999991</v>
      </c>
      <c r="I37" s="22">
        <f>H37+G37</f>
        <v>62.54</v>
      </c>
      <c r="J37" s="102"/>
      <c r="K37" s="120"/>
      <c r="L37" s="9"/>
      <c r="M37" s="9"/>
      <c r="N37" s="136"/>
      <c r="O37">
        <f t="shared" si="0"/>
        <v>0</v>
      </c>
    </row>
    <row r="38" spans="1:15" ht="15.75">
      <c r="A38" s="120" t="s">
        <v>177</v>
      </c>
      <c r="B38" s="9" t="s">
        <v>31</v>
      </c>
      <c r="C38" s="10"/>
      <c r="D38" s="10">
        <v>40</v>
      </c>
      <c r="E38" s="25">
        <f>2124/D38</f>
        <v>53.1</v>
      </c>
      <c r="F38" s="25">
        <f t="shared" si="3"/>
        <v>2124</v>
      </c>
      <c r="G38" s="21"/>
      <c r="H38" s="22"/>
      <c r="I38" s="22"/>
      <c r="J38" s="133">
        <v>76</v>
      </c>
      <c r="K38" s="120" t="s">
        <v>209</v>
      </c>
      <c r="L38" s="9" t="s">
        <v>31</v>
      </c>
      <c r="M38" s="9" t="s">
        <v>203</v>
      </c>
      <c r="N38" s="145">
        <v>76</v>
      </c>
      <c r="O38">
        <f t="shared" si="0"/>
        <v>0</v>
      </c>
    </row>
    <row r="39" spans="1:15" ht="15.75">
      <c r="A39" s="119" t="s">
        <v>30</v>
      </c>
      <c r="B39" s="135" t="s">
        <v>31</v>
      </c>
      <c r="C39" s="136">
        <v>80</v>
      </c>
      <c r="D39" s="10"/>
      <c r="E39" s="25"/>
      <c r="F39" s="25">
        <f t="shared" si="3"/>
        <v>0</v>
      </c>
      <c r="G39" s="21">
        <v>17.14</v>
      </c>
      <c r="H39" s="22">
        <f>+G39*18%</f>
        <v>3.0851999999999999</v>
      </c>
      <c r="I39" s="22">
        <f>H39+G39</f>
        <v>20.225200000000001</v>
      </c>
      <c r="J39" s="102"/>
      <c r="K39" s="120"/>
      <c r="L39" s="9"/>
      <c r="M39" s="9"/>
      <c r="N39" s="145"/>
      <c r="O39">
        <f t="shared" si="0"/>
        <v>0</v>
      </c>
    </row>
    <row r="40" spans="1:15" ht="15.75">
      <c r="A40" s="120" t="s">
        <v>176</v>
      </c>
      <c r="B40" s="9" t="s">
        <v>31</v>
      </c>
      <c r="C40" s="10"/>
      <c r="D40" s="10">
        <v>40</v>
      </c>
      <c r="E40" s="25">
        <f>1062/D40</f>
        <v>26.55</v>
      </c>
      <c r="F40" s="25">
        <f t="shared" si="3"/>
        <v>1062</v>
      </c>
      <c r="G40" s="21"/>
      <c r="H40" s="22"/>
      <c r="I40" s="22"/>
      <c r="J40" s="133">
        <v>112</v>
      </c>
      <c r="K40" s="120" t="s">
        <v>176</v>
      </c>
      <c r="L40" s="9" t="s">
        <v>31</v>
      </c>
      <c r="M40" s="9" t="s">
        <v>203</v>
      </c>
      <c r="N40" s="145">
        <v>112</v>
      </c>
      <c r="O40">
        <f t="shared" si="0"/>
        <v>0</v>
      </c>
    </row>
    <row r="41" spans="1:15" ht="15.75">
      <c r="A41" s="24" t="s">
        <v>36</v>
      </c>
      <c r="B41" s="9" t="s">
        <v>9</v>
      </c>
      <c r="C41" s="10">
        <v>87</v>
      </c>
      <c r="D41" s="10"/>
      <c r="E41" s="25"/>
      <c r="F41" s="25">
        <f t="shared" si="3"/>
        <v>0</v>
      </c>
      <c r="G41" s="11">
        <v>55</v>
      </c>
      <c r="H41" s="104">
        <f>+G41*18%</f>
        <v>9.9</v>
      </c>
      <c r="I41" s="104">
        <f>H41+G41</f>
        <v>64.900000000000006</v>
      </c>
      <c r="J41" s="133">
        <v>71</v>
      </c>
      <c r="K41" s="120" t="s">
        <v>36</v>
      </c>
      <c r="L41" s="9" t="s">
        <v>9</v>
      </c>
      <c r="M41" s="9" t="s">
        <v>202</v>
      </c>
      <c r="N41" s="136">
        <v>71</v>
      </c>
      <c r="O41">
        <f t="shared" si="0"/>
        <v>0</v>
      </c>
    </row>
    <row r="42" spans="1:15" ht="15.75">
      <c r="A42" s="120" t="s">
        <v>185</v>
      </c>
      <c r="B42" s="9" t="s">
        <v>13</v>
      </c>
      <c r="C42" s="10"/>
      <c r="D42" s="10">
        <v>12</v>
      </c>
      <c r="E42" s="25">
        <f>821.28/D42</f>
        <v>68.44</v>
      </c>
      <c r="F42" s="25">
        <f t="shared" si="3"/>
        <v>821.28</v>
      </c>
      <c r="G42" s="11"/>
      <c r="H42" s="104"/>
      <c r="I42" s="104"/>
      <c r="J42" s="133">
        <v>11</v>
      </c>
      <c r="K42" s="120" t="s">
        <v>185</v>
      </c>
      <c r="L42" s="9" t="s">
        <v>13</v>
      </c>
      <c r="M42" s="9" t="s">
        <v>203</v>
      </c>
      <c r="N42" s="136">
        <v>11</v>
      </c>
      <c r="O42">
        <f t="shared" si="0"/>
        <v>0</v>
      </c>
    </row>
    <row r="43" spans="1:15" ht="15.75">
      <c r="A43" s="24" t="s">
        <v>37</v>
      </c>
      <c r="B43" s="9" t="s">
        <v>13</v>
      </c>
      <c r="C43" s="10">
        <v>41</v>
      </c>
      <c r="D43" s="10">
        <v>36</v>
      </c>
      <c r="E43" s="25">
        <v>59</v>
      </c>
      <c r="F43" s="25">
        <f t="shared" si="3"/>
        <v>2124</v>
      </c>
      <c r="G43" s="21">
        <v>20</v>
      </c>
      <c r="H43" s="22">
        <f>+G43*18%</f>
        <v>3.5999999999999996</v>
      </c>
      <c r="I43" s="22">
        <f t="shared" ref="I43:I70" si="4">H43+G43</f>
        <v>23.6</v>
      </c>
      <c r="J43" s="133">
        <v>39</v>
      </c>
      <c r="K43" s="120" t="s">
        <v>37</v>
      </c>
      <c r="L43" s="9" t="s">
        <v>13</v>
      </c>
      <c r="M43" s="9" t="s">
        <v>203</v>
      </c>
      <c r="N43" s="136">
        <v>39</v>
      </c>
      <c r="O43">
        <f t="shared" si="0"/>
        <v>0</v>
      </c>
    </row>
    <row r="44" spans="1:15" ht="15.75">
      <c r="A44" s="24" t="s">
        <v>38</v>
      </c>
      <c r="B44" s="9" t="s">
        <v>13</v>
      </c>
      <c r="C44" s="10">
        <v>22</v>
      </c>
      <c r="D44" s="10"/>
      <c r="E44" s="25"/>
      <c r="F44" s="25">
        <f t="shared" si="3"/>
        <v>0</v>
      </c>
      <c r="G44" s="21">
        <v>37.46</v>
      </c>
      <c r="H44" s="22"/>
      <c r="I44" s="22">
        <f t="shared" si="4"/>
        <v>37.46</v>
      </c>
      <c r="J44" s="133">
        <v>54</v>
      </c>
      <c r="K44" s="120" t="s">
        <v>38</v>
      </c>
      <c r="L44" s="9" t="s">
        <v>13</v>
      </c>
      <c r="M44" s="9" t="s">
        <v>203</v>
      </c>
      <c r="N44" s="136">
        <v>54</v>
      </c>
      <c r="O44">
        <f t="shared" si="0"/>
        <v>0</v>
      </c>
    </row>
    <row r="45" spans="1:15" ht="15.75">
      <c r="A45" s="64" t="s">
        <v>39</v>
      </c>
      <c r="B45" s="14" t="s">
        <v>13</v>
      </c>
      <c r="C45" s="15">
        <v>3</v>
      </c>
      <c r="D45" s="15"/>
      <c r="E45" s="112"/>
      <c r="F45" s="25">
        <f t="shared" si="3"/>
        <v>0</v>
      </c>
      <c r="G45" s="16">
        <v>415</v>
      </c>
      <c r="H45" s="61">
        <f>G45*18%</f>
        <v>74.7</v>
      </c>
      <c r="I45" s="61">
        <f t="shared" si="4"/>
        <v>489.7</v>
      </c>
      <c r="J45" s="102">
        <v>0</v>
      </c>
      <c r="K45" s="120"/>
      <c r="L45" s="9"/>
      <c r="M45" s="9"/>
      <c r="N45" s="136"/>
      <c r="O45">
        <f t="shared" si="0"/>
        <v>0</v>
      </c>
    </row>
    <row r="46" spans="1:15" ht="15.75">
      <c r="A46" s="24" t="s">
        <v>167</v>
      </c>
      <c r="B46" s="9" t="s">
        <v>163</v>
      </c>
      <c r="C46" s="10">
        <v>1</v>
      </c>
      <c r="D46" s="10"/>
      <c r="E46" s="25"/>
      <c r="F46" s="25">
        <f t="shared" si="3"/>
        <v>0</v>
      </c>
      <c r="G46" s="11">
        <v>4950</v>
      </c>
      <c r="H46" s="104">
        <f t="shared" ref="H46:H56" si="5">+G46*18%</f>
        <v>891</v>
      </c>
      <c r="I46" s="104">
        <f t="shared" si="4"/>
        <v>5841</v>
      </c>
      <c r="J46" s="133">
        <v>1</v>
      </c>
      <c r="K46" s="120" t="s">
        <v>167</v>
      </c>
      <c r="L46" s="9" t="s">
        <v>13</v>
      </c>
      <c r="M46" s="9" t="s">
        <v>202</v>
      </c>
      <c r="N46" s="136">
        <v>1</v>
      </c>
      <c r="O46">
        <f t="shared" si="0"/>
        <v>0</v>
      </c>
    </row>
    <row r="47" spans="1:15" ht="15.75">
      <c r="A47" s="24" t="s">
        <v>41</v>
      </c>
      <c r="B47" s="9" t="s">
        <v>13</v>
      </c>
      <c r="C47" s="10">
        <v>4</v>
      </c>
      <c r="D47" s="10"/>
      <c r="E47" s="25"/>
      <c r="F47" s="25">
        <f t="shared" si="3"/>
        <v>0</v>
      </c>
      <c r="G47" s="11">
        <v>175</v>
      </c>
      <c r="H47" s="104">
        <f t="shared" si="5"/>
        <v>31.5</v>
      </c>
      <c r="I47" s="104">
        <f t="shared" si="4"/>
        <v>206.5</v>
      </c>
      <c r="J47" s="133">
        <v>1</v>
      </c>
      <c r="K47" s="120" t="s">
        <v>41</v>
      </c>
      <c r="L47" s="9" t="s">
        <v>13</v>
      </c>
      <c r="M47" s="9" t="s">
        <v>202</v>
      </c>
      <c r="N47" s="136">
        <v>1</v>
      </c>
      <c r="O47">
        <f t="shared" si="0"/>
        <v>0</v>
      </c>
    </row>
    <row r="48" spans="1:15" ht="15.75">
      <c r="A48" s="24" t="s">
        <v>43</v>
      </c>
      <c r="B48" s="9" t="s">
        <v>14</v>
      </c>
      <c r="C48" s="10">
        <v>7</v>
      </c>
      <c r="D48" s="10"/>
      <c r="E48" s="25"/>
      <c r="F48" s="25">
        <f t="shared" si="3"/>
        <v>0</v>
      </c>
      <c r="G48" s="11">
        <v>425</v>
      </c>
      <c r="H48" s="104">
        <f t="shared" si="5"/>
        <v>76.5</v>
      </c>
      <c r="I48" s="104">
        <f t="shared" si="4"/>
        <v>501.5</v>
      </c>
      <c r="J48" s="133">
        <v>3</v>
      </c>
      <c r="K48" s="120" t="s">
        <v>43</v>
      </c>
      <c r="L48" s="9" t="s">
        <v>14</v>
      </c>
      <c r="M48" s="9" t="s">
        <v>202</v>
      </c>
      <c r="N48" s="136">
        <v>3</v>
      </c>
      <c r="O48">
        <f t="shared" si="0"/>
        <v>0</v>
      </c>
    </row>
    <row r="49" spans="1:15" ht="15.75">
      <c r="A49" s="24" t="s">
        <v>162</v>
      </c>
      <c r="B49" s="9" t="s">
        <v>163</v>
      </c>
      <c r="C49" s="10">
        <v>12</v>
      </c>
      <c r="D49" s="10"/>
      <c r="E49" s="25"/>
      <c r="F49" s="25">
        <f t="shared" si="3"/>
        <v>0</v>
      </c>
      <c r="G49" s="11">
        <v>110</v>
      </c>
      <c r="H49" s="104">
        <f t="shared" si="5"/>
        <v>19.8</v>
      </c>
      <c r="I49" s="104">
        <f t="shared" si="4"/>
        <v>129.80000000000001</v>
      </c>
      <c r="J49" s="133">
        <v>8</v>
      </c>
      <c r="K49" s="120" t="s">
        <v>162</v>
      </c>
      <c r="L49" s="9" t="s">
        <v>13</v>
      </c>
      <c r="M49" s="9" t="s">
        <v>202</v>
      </c>
      <c r="N49" s="136">
        <v>8</v>
      </c>
      <c r="O49">
        <f t="shared" si="0"/>
        <v>0</v>
      </c>
    </row>
    <row r="50" spans="1:15" ht="15.75">
      <c r="A50" s="24" t="s">
        <v>42</v>
      </c>
      <c r="B50" s="9" t="s">
        <v>9</v>
      </c>
      <c r="C50" s="10">
        <v>33</v>
      </c>
      <c r="D50" s="10"/>
      <c r="E50" s="25"/>
      <c r="F50" s="25">
        <f t="shared" si="3"/>
        <v>0</v>
      </c>
      <c r="G50" s="11">
        <v>110</v>
      </c>
      <c r="H50" s="104">
        <f t="shared" si="5"/>
        <v>19.8</v>
      </c>
      <c r="I50" s="104">
        <f t="shared" si="4"/>
        <v>129.80000000000001</v>
      </c>
      <c r="J50" s="133">
        <v>42</v>
      </c>
      <c r="K50" s="120" t="s">
        <v>42</v>
      </c>
      <c r="L50" s="9" t="s">
        <v>9</v>
      </c>
      <c r="M50" s="9" t="s">
        <v>202</v>
      </c>
      <c r="N50" s="136">
        <v>42</v>
      </c>
      <c r="O50">
        <f t="shared" si="0"/>
        <v>0</v>
      </c>
    </row>
    <row r="51" spans="1:15" ht="15.75">
      <c r="A51" s="24" t="s">
        <v>44</v>
      </c>
      <c r="B51" s="9" t="s">
        <v>29</v>
      </c>
      <c r="C51" s="10">
        <v>6</v>
      </c>
      <c r="D51" s="10"/>
      <c r="E51" s="25"/>
      <c r="F51" s="25">
        <f t="shared" si="3"/>
        <v>0</v>
      </c>
      <c r="G51" s="11">
        <v>65</v>
      </c>
      <c r="H51" s="104">
        <f t="shared" si="5"/>
        <v>11.7</v>
      </c>
      <c r="I51" s="104">
        <f t="shared" si="4"/>
        <v>76.7</v>
      </c>
      <c r="J51" s="133">
        <v>4</v>
      </c>
      <c r="K51" s="120" t="s">
        <v>44</v>
      </c>
      <c r="L51" s="9" t="s">
        <v>29</v>
      </c>
      <c r="M51" s="9" t="s">
        <v>202</v>
      </c>
      <c r="N51" s="145">
        <v>4</v>
      </c>
      <c r="O51">
        <f t="shared" si="0"/>
        <v>0</v>
      </c>
    </row>
    <row r="52" spans="1:15" ht="15.75">
      <c r="A52" s="24" t="s">
        <v>161</v>
      </c>
      <c r="B52" s="9" t="s">
        <v>13</v>
      </c>
      <c r="C52" s="10">
        <v>2</v>
      </c>
      <c r="D52" s="10"/>
      <c r="E52" s="25"/>
      <c r="F52" s="25">
        <f t="shared" si="3"/>
        <v>0</v>
      </c>
      <c r="G52" s="11">
        <v>1150</v>
      </c>
      <c r="H52" s="104">
        <f t="shared" si="5"/>
        <v>207</v>
      </c>
      <c r="I52" s="104">
        <f t="shared" si="4"/>
        <v>1357</v>
      </c>
      <c r="J52" s="133">
        <v>2</v>
      </c>
      <c r="K52" s="123" t="s">
        <v>161</v>
      </c>
      <c r="L52" s="9" t="s">
        <v>13</v>
      </c>
      <c r="M52" s="9" t="s">
        <v>202</v>
      </c>
      <c r="N52" s="136">
        <v>2</v>
      </c>
      <c r="O52">
        <f t="shared" si="0"/>
        <v>0</v>
      </c>
    </row>
    <row r="53" spans="1:15" ht="15.75">
      <c r="A53" s="24" t="s">
        <v>160</v>
      </c>
      <c r="B53" s="9" t="s">
        <v>13</v>
      </c>
      <c r="C53" s="10">
        <v>2</v>
      </c>
      <c r="D53" s="10"/>
      <c r="E53" s="25"/>
      <c r="F53" s="25">
        <f t="shared" si="3"/>
        <v>0</v>
      </c>
      <c r="G53" s="11">
        <v>3450</v>
      </c>
      <c r="H53" s="104">
        <f t="shared" si="5"/>
        <v>621</v>
      </c>
      <c r="I53" s="104">
        <f t="shared" si="4"/>
        <v>4071</v>
      </c>
      <c r="J53" s="133">
        <v>2</v>
      </c>
      <c r="K53" s="134" t="s">
        <v>160</v>
      </c>
      <c r="L53" s="135" t="s">
        <v>13</v>
      </c>
      <c r="M53" s="135" t="s">
        <v>202</v>
      </c>
      <c r="N53" s="145">
        <v>2</v>
      </c>
      <c r="O53">
        <f t="shared" si="0"/>
        <v>0</v>
      </c>
    </row>
    <row r="54" spans="1:15" ht="15.75">
      <c r="A54" s="24" t="s">
        <v>46</v>
      </c>
      <c r="B54" s="9" t="s">
        <v>13</v>
      </c>
      <c r="C54" s="10">
        <v>20</v>
      </c>
      <c r="D54" s="10">
        <v>20</v>
      </c>
      <c r="E54" s="25">
        <f>5900/20</f>
        <v>295</v>
      </c>
      <c r="F54" s="25">
        <f t="shared" si="3"/>
        <v>5900</v>
      </c>
      <c r="G54" s="21">
        <v>154.26</v>
      </c>
      <c r="H54" s="22">
        <f t="shared" si="5"/>
        <v>27.766799999999996</v>
      </c>
      <c r="I54" s="22">
        <f t="shared" si="4"/>
        <v>182.02679999999998</v>
      </c>
      <c r="J54" s="133">
        <v>40</v>
      </c>
      <c r="K54" s="120" t="s">
        <v>46</v>
      </c>
      <c r="L54" s="9" t="s">
        <v>13</v>
      </c>
      <c r="M54" s="9" t="s">
        <v>203</v>
      </c>
      <c r="N54" s="136">
        <v>40</v>
      </c>
      <c r="O54">
        <f t="shared" si="0"/>
        <v>0</v>
      </c>
    </row>
    <row r="55" spans="1:15" ht="15.75">
      <c r="A55" s="24" t="s">
        <v>47</v>
      </c>
      <c r="B55" s="9" t="s">
        <v>13</v>
      </c>
      <c r="C55" s="10">
        <v>23</v>
      </c>
      <c r="D55" s="10"/>
      <c r="E55" s="25"/>
      <c r="F55" s="25">
        <f t="shared" si="3"/>
        <v>0</v>
      </c>
      <c r="G55" s="11">
        <v>125</v>
      </c>
      <c r="H55" s="104">
        <f t="shared" si="5"/>
        <v>22.5</v>
      </c>
      <c r="I55" s="104">
        <f t="shared" si="4"/>
        <v>147.5</v>
      </c>
      <c r="J55" s="133">
        <v>24</v>
      </c>
      <c r="K55" s="120" t="s">
        <v>47</v>
      </c>
      <c r="L55" s="9" t="s">
        <v>13</v>
      </c>
      <c r="M55" s="9" t="s">
        <v>202</v>
      </c>
      <c r="N55" s="145">
        <v>24</v>
      </c>
      <c r="O55">
        <f t="shared" si="0"/>
        <v>0</v>
      </c>
    </row>
    <row r="56" spans="1:15" ht="15.75">
      <c r="A56" s="24" t="s">
        <v>48</v>
      </c>
      <c r="B56" s="9" t="s">
        <v>31</v>
      </c>
      <c r="C56" s="10">
        <v>3</v>
      </c>
      <c r="D56" s="10">
        <v>4</v>
      </c>
      <c r="E56" s="25">
        <f>2640/D56</f>
        <v>660</v>
      </c>
      <c r="F56" s="25">
        <f t="shared" si="3"/>
        <v>2640</v>
      </c>
      <c r="G56" s="21">
        <v>26.44</v>
      </c>
      <c r="H56" s="22">
        <f t="shared" si="5"/>
        <v>4.7591999999999999</v>
      </c>
      <c r="I56" s="22">
        <f t="shared" si="4"/>
        <v>31.199200000000001</v>
      </c>
      <c r="J56" s="133">
        <v>56</v>
      </c>
      <c r="K56" s="137" t="s">
        <v>210</v>
      </c>
      <c r="L56" s="135" t="s">
        <v>13</v>
      </c>
      <c r="M56" s="135" t="s">
        <v>203</v>
      </c>
      <c r="N56" s="145">
        <v>56</v>
      </c>
      <c r="O56">
        <f t="shared" si="0"/>
        <v>0</v>
      </c>
    </row>
    <row r="57" spans="1:15" ht="15.75">
      <c r="A57" s="64" t="s">
        <v>50</v>
      </c>
      <c r="B57" s="14" t="s">
        <v>29</v>
      </c>
      <c r="C57" s="15">
        <v>6</v>
      </c>
      <c r="D57" s="15"/>
      <c r="E57" s="112"/>
      <c r="F57" s="25">
        <f t="shared" si="3"/>
        <v>0</v>
      </c>
      <c r="G57" s="16">
        <v>220</v>
      </c>
      <c r="H57" s="61">
        <f>G57*18%</f>
        <v>39.6</v>
      </c>
      <c r="I57" s="61">
        <f t="shared" si="4"/>
        <v>259.60000000000002</v>
      </c>
      <c r="J57" s="133">
        <v>6</v>
      </c>
      <c r="K57" s="142" t="s">
        <v>50</v>
      </c>
      <c r="L57" s="14" t="s">
        <v>29</v>
      </c>
      <c r="M57" s="14" t="s">
        <v>202</v>
      </c>
      <c r="N57" s="145">
        <v>6</v>
      </c>
      <c r="O57">
        <f t="shared" si="0"/>
        <v>0</v>
      </c>
    </row>
    <row r="58" spans="1:15" ht="15.75">
      <c r="A58" s="64" t="s">
        <v>51</v>
      </c>
      <c r="B58" s="14" t="s">
        <v>29</v>
      </c>
      <c r="C58" s="15">
        <v>6</v>
      </c>
      <c r="D58" s="15"/>
      <c r="E58" s="112"/>
      <c r="F58" s="25">
        <f t="shared" si="3"/>
        <v>0</v>
      </c>
      <c r="G58" s="16">
        <v>220</v>
      </c>
      <c r="H58" s="61">
        <f>G58*18%</f>
        <v>39.6</v>
      </c>
      <c r="I58" s="61">
        <f t="shared" si="4"/>
        <v>259.60000000000002</v>
      </c>
      <c r="J58" s="133">
        <v>6</v>
      </c>
      <c r="K58" s="142" t="s">
        <v>51</v>
      </c>
      <c r="L58" s="14" t="s">
        <v>29</v>
      </c>
      <c r="M58" s="14" t="s">
        <v>202</v>
      </c>
      <c r="N58" s="145">
        <v>6</v>
      </c>
      <c r="O58">
        <f t="shared" si="0"/>
        <v>0</v>
      </c>
    </row>
    <row r="59" spans="1:15" ht="15.75">
      <c r="A59" s="24" t="s">
        <v>52</v>
      </c>
      <c r="B59" s="9" t="s">
        <v>31</v>
      </c>
      <c r="C59" s="10">
        <v>9</v>
      </c>
      <c r="D59" s="10">
        <v>1500</v>
      </c>
      <c r="E59" s="25">
        <f>4425/1500</f>
        <v>2.95</v>
      </c>
      <c r="F59" s="25">
        <f t="shared" si="3"/>
        <v>4425</v>
      </c>
      <c r="G59" s="21">
        <v>367.28</v>
      </c>
      <c r="H59" s="22">
        <f t="shared" ref="H59:H70" si="6">+G59*18%</f>
        <v>66.110399999999998</v>
      </c>
      <c r="I59" s="22">
        <f t="shared" si="4"/>
        <v>433.3904</v>
      </c>
      <c r="J59" s="133">
        <v>1800</v>
      </c>
      <c r="K59" s="120" t="s">
        <v>52</v>
      </c>
      <c r="L59" s="9" t="s">
        <v>13</v>
      </c>
      <c r="M59" s="9" t="s">
        <v>203</v>
      </c>
      <c r="N59" s="145">
        <v>1800</v>
      </c>
      <c r="O59">
        <f t="shared" si="0"/>
        <v>0</v>
      </c>
    </row>
    <row r="60" spans="1:15" ht="15.75">
      <c r="A60" s="24" t="s">
        <v>53</v>
      </c>
      <c r="B60" s="9" t="s">
        <v>31</v>
      </c>
      <c r="C60" s="10">
        <v>11</v>
      </c>
      <c r="D60" s="10"/>
      <c r="E60" s="25">
        <v>5.9</v>
      </c>
      <c r="F60" s="25">
        <f t="shared" si="3"/>
        <v>0</v>
      </c>
      <c r="G60" s="21">
        <v>500</v>
      </c>
      <c r="H60" s="22">
        <f t="shared" si="6"/>
        <v>90</v>
      </c>
      <c r="I60" s="22">
        <f t="shared" si="4"/>
        <v>590</v>
      </c>
      <c r="J60" s="133">
        <v>1100</v>
      </c>
      <c r="K60" s="120" t="s">
        <v>53</v>
      </c>
      <c r="L60" s="9" t="s">
        <v>13</v>
      </c>
      <c r="M60" s="9" t="s">
        <v>203</v>
      </c>
      <c r="N60" s="145">
        <v>1100</v>
      </c>
      <c r="O60">
        <f t="shared" si="0"/>
        <v>0</v>
      </c>
    </row>
    <row r="61" spans="1:15" ht="15.75">
      <c r="A61" s="24" t="s">
        <v>158</v>
      </c>
      <c r="B61" s="9" t="s">
        <v>29</v>
      </c>
      <c r="C61" s="10">
        <v>5</v>
      </c>
      <c r="D61" s="10"/>
      <c r="E61" s="25"/>
      <c r="F61" s="25">
        <f t="shared" si="3"/>
        <v>0</v>
      </c>
      <c r="G61" s="11">
        <v>95</v>
      </c>
      <c r="H61" s="104">
        <f t="shared" si="6"/>
        <v>17.099999999999998</v>
      </c>
      <c r="I61" s="104">
        <f t="shared" si="4"/>
        <v>112.1</v>
      </c>
      <c r="J61" s="133">
        <v>1</v>
      </c>
      <c r="K61" s="120" t="s">
        <v>214</v>
      </c>
      <c r="L61" s="9" t="s">
        <v>29</v>
      </c>
      <c r="M61" s="9" t="s">
        <v>202</v>
      </c>
      <c r="N61" s="145">
        <v>1</v>
      </c>
      <c r="O61">
        <f t="shared" si="0"/>
        <v>0</v>
      </c>
    </row>
    <row r="62" spans="1:15" ht="15.75">
      <c r="A62" s="24" t="s">
        <v>55</v>
      </c>
      <c r="B62" s="9" t="s">
        <v>29</v>
      </c>
      <c r="C62" s="10">
        <v>88</v>
      </c>
      <c r="D62" s="10"/>
      <c r="E62" s="25"/>
      <c r="F62" s="25">
        <f t="shared" si="3"/>
        <v>0</v>
      </c>
      <c r="G62" s="11">
        <v>425</v>
      </c>
      <c r="H62" s="104">
        <f t="shared" si="6"/>
        <v>76.5</v>
      </c>
      <c r="I62" s="104">
        <f t="shared" si="4"/>
        <v>501.5</v>
      </c>
      <c r="J62" s="133">
        <v>80</v>
      </c>
      <c r="K62" s="120" t="s">
        <v>212</v>
      </c>
      <c r="L62" s="9" t="s">
        <v>29</v>
      </c>
      <c r="M62" s="9" t="s">
        <v>202</v>
      </c>
      <c r="N62" s="145">
        <v>80</v>
      </c>
      <c r="O62">
        <f t="shared" si="0"/>
        <v>0</v>
      </c>
    </row>
    <row r="63" spans="1:15" ht="15.75">
      <c r="A63" s="24" t="s">
        <v>156</v>
      </c>
      <c r="B63" s="9" t="s">
        <v>29</v>
      </c>
      <c r="C63" s="10">
        <v>1</v>
      </c>
      <c r="D63" s="10"/>
      <c r="E63" s="25"/>
      <c r="F63" s="25">
        <f t="shared" si="3"/>
        <v>0</v>
      </c>
      <c r="G63" s="11">
        <v>700</v>
      </c>
      <c r="H63" s="104">
        <f t="shared" si="6"/>
        <v>126</v>
      </c>
      <c r="I63" s="104">
        <f t="shared" si="4"/>
        <v>826</v>
      </c>
      <c r="J63" s="133">
        <v>1</v>
      </c>
      <c r="K63" s="120" t="s">
        <v>213</v>
      </c>
      <c r="L63" s="9" t="s">
        <v>29</v>
      </c>
      <c r="M63" s="9" t="s">
        <v>202</v>
      </c>
      <c r="N63" s="145">
        <v>1</v>
      </c>
      <c r="O63">
        <f t="shared" si="0"/>
        <v>0</v>
      </c>
    </row>
    <row r="64" spans="1:15" ht="15.75">
      <c r="A64" s="24" t="s">
        <v>56</v>
      </c>
      <c r="B64" s="9" t="s">
        <v>29</v>
      </c>
      <c r="C64" s="10">
        <v>3</v>
      </c>
      <c r="D64" s="10"/>
      <c r="E64" s="25"/>
      <c r="F64" s="25">
        <f t="shared" si="3"/>
        <v>0</v>
      </c>
      <c r="G64" s="11">
        <v>16.41</v>
      </c>
      <c r="H64" s="104">
        <f t="shared" si="6"/>
        <v>2.9537999999999998</v>
      </c>
      <c r="I64" s="104">
        <f t="shared" si="4"/>
        <v>19.363800000000001</v>
      </c>
      <c r="J64" s="102">
        <v>0</v>
      </c>
      <c r="K64" s="120"/>
      <c r="L64" s="9"/>
      <c r="M64" s="9"/>
      <c r="N64" s="145"/>
      <c r="O64">
        <f t="shared" si="0"/>
        <v>0</v>
      </c>
    </row>
    <row r="65" spans="1:15" ht="15.75">
      <c r="A65" s="56" t="s">
        <v>54</v>
      </c>
      <c r="B65" s="9" t="s">
        <v>29</v>
      </c>
      <c r="C65" s="27">
        <v>13</v>
      </c>
      <c r="D65" s="27"/>
      <c r="E65" s="113"/>
      <c r="F65" s="25">
        <f t="shared" si="3"/>
        <v>0</v>
      </c>
      <c r="G65" s="21">
        <v>230</v>
      </c>
      <c r="H65" s="22">
        <f t="shared" si="6"/>
        <v>41.4</v>
      </c>
      <c r="I65" s="22">
        <f t="shared" si="4"/>
        <v>271.39999999999998</v>
      </c>
      <c r="J65" s="133">
        <v>16</v>
      </c>
      <c r="K65" s="146" t="s">
        <v>211</v>
      </c>
      <c r="L65" s="9" t="s">
        <v>29</v>
      </c>
      <c r="M65" s="9" t="s">
        <v>203</v>
      </c>
      <c r="N65" s="147">
        <v>16</v>
      </c>
      <c r="O65">
        <f t="shared" si="0"/>
        <v>0</v>
      </c>
    </row>
    <row r="66" spans="1:15" ht="15.75">
      <c r="A66" s="24" t="s">
        <v>57</v>
      </c>
      <c r="B66" s="9" t="s">
        <v>31</v>
      </c>
      <c r="C66" s="10">
        <v>2</v>
      </c>
      <c r="D66" s="10"/>
      <c r="E66" s="25"/>
      <c r="F66" s="25">
        <f t="shared" si="3"/>
        <v>0</v>
      </c>
      <c r="G66" s="21">
        <v>120</v>
      </c>
      <c r="H66" s="22">
        <f t="shared" si="6"/>
        <v>21.599999999999998</v>
      </c>
      <c r="I66" s="22">
        <f t="shared" si="4"/>
        <v>141.6</v>
      </c>
      <c r="J66" s="133">
        <v>2</v>
      </c>
      <c r="K66" s="120" t="s">
        <v>57</v>
      </c>
      <c r="L66" s="9" t="s">
        <v>31</v>
      </c>
      <c r="M66" s="9" t="s">
        <v>203</v>
      </c>
      <c r="N66" s="145">
        <v>2</v>
      </c>
      <c r="O66">
        <f t="shared" si="0"/>
        <v>0</v>
      </c>
    </row>
    <row r="67" spans="1:15" ht="15.75">
      <c r="A67" s="24" t="s">
        <v>59</v>
      </c>
      <c r="B67" s="9" t="s">
        <v>9</v>
      </c>
      <c r="C67" s="10">
        <v>28</v>
      </c>
      <c r="D67" s="10"/>
      <c r="E67" s="25"/>
      <c r="F67" s="25">
        <f t="shared" si="3"/>
        <v>0</v>
      </c>
      <c r="G67" s="11">
        <v>700</v>
      </c>
      <c r="H67" s="104">
        <f t="shared" si="6"/>
        <v>126</v>
      </c>
      <c r="I67" s="104">
        <f t="shared" si="4"/>
        <v>826</v>
      </c>
      <c r="J67" s="133">
        <v>24</v>
      </c>
      <c r="K67" s="120" t="s">
        <v>59</v>
      </c>
      <c r="L67" s="9" t="s">
        <v>9</v>
      </c>
      <c r="M67" s="9" t="s">
        <v>202</v>
      </c>
      <c r="N67" s="145">
        <v>24</v>
      </c>
      <c r="O67">
        <f t="shared" si="0"/>
        <v>0</v>
      </c>
    </row>
    <row r="68" spans="1:15" ht="15.75">
      <c r="A68" s="24" t="s">
        <v>60</v>
      </c>
      <c r="B68" s="9" t="s">
        <v>31</v>
      </c>
      <c r="C68" s="10">
        <v>32</v>
      </c>
      <c r="D68" s="10">
        <v>25</v>
      </c>
      <c r="E68" s="25">
        <f>1563.5/D68</f>
        <v>62.54</v>
      </c>
      <c r="F68" s="25">
        <f t="shared" si="3"/>
        <v>1563.5</v>
      </c>
      <c r="G68" s="21">
        <v>54.36</v>
      </c>
      <c r="H68" s="22">
        <f t="shared" si="6"/>
        <v>9.7847999999999988</v>
      </c>
      <c r="I68" s="22">
        <f t="shared" si="4"/>
        <v>64.144800000000004</v>
      </c>
      <c r="J68" s="133">
        <v>50</v>
      </c>
      <c r="K68" s="120" t="s">
        <v>60</v>
      </c>
      <c r="L68" s="9" t="s">
        <v>31</v>
      </c>
      <c r="M68" s="9" t="s">
        <v>203</v>
      </c>
      <c r="N68" s="145">
        <v>50</v>
      </c>
      <c r="O68">
        <f t="shared" si="0"/>
        <v>0</v>
      </c>
    </row>
    <row r="69" spans="1:15" ht="15.75">
      <c r="A69" s="24" t="s">
        <v>159</v>
      </c>
      <c r="B69" s="9" t="s">
        <v>31</v>
      </c>
      <c r="C69" s="10">
        <v>2</v>
      </c>
      <c r="D69" s="10"/>
      <c r="E69" s="25"/>
      <c r="F69" s="25">
        <f t="shared" si="3"/>
        <v>0</v>
      </c>
      <c r="G69" s="11">
        <v>375</v>
      </c>
      <c r="H69" s="104">
        <f t="shared" si="6"/>
        <v>67.5</v>
      </c>
      <c r="I69" s="104">
        <f t="shared" si="4"/>
        <v>442.5</v>
      </c>
      <c r="J69" s="133">
        <v>2</v>
      </c>
      <c r="K69" s="120" t="s">
        <v>215</v>
      </c>
      <c r="L69" s="9" t="s">
        <v>31</v>
      </c>
      <c r="M69" s="9" t="s">
        <v>202</v>
      </c>
      <c r="N69" s="145">
        <v>2</v>
      </c>
      <c r="O69">
        <f t="shared" si="0"/>
        <v>0</v>
      </c>
    </row>
    <row r="70" spans="1:15" ht="15.75">
      <c r="A70" s="24" t="s">
        <v>61</v>
      </c>
      <c r="B70" s="9" t="s">
        <v>13</v>
      </c>
      <c r="C70" s="10">
        <v>15</v>
      </c>
      <c r="D70" s="10">
        <v>15</v>
      </c>
      <c r="E70" s="25">
        <f>7965/D70</f>
        <v>531</v>
      </c>
      <c r="F70" s="25">
        <f t="shared" si="3"/>
        <v>7965</v>
      </c>
      <c r="G70" s="21">
        <v>330.55</v>
      </c>
      <c r="H70" s="22">
        <f t="shared" si="6"/>
        <v>59.499000000000002</v>
      </c>
      <c r="I70" s="22">
        <f t="shared" si="4"/>
        <v>390.04900000000004</v>
      </c>
      <c r="J70" s="133">
        <v>22</v>
      </c>
      <c r="K70" s="120" t="s">
        <v>61</v>
      </c>
      <c r="L70" s="9" t="s">
        <v>13</v>
      </c>
      <c r="M70" s="9" t="s">
        <v>203</v>
      </c>
      <c r="N70" s="145">
        <v>22</v>
      </c>
      <c r="O70">
        <f t="shared" si="0"/>
        <v>0</v>
      </c>
    </row>
    <row r="71" spans="1:15" ht="15.75">
      <c r="A71" s="120" t="s">
        <v>195</v>
      </c>
      <c r="B71" s="9"/>
      <c r="C71" s="10"/>
      <c r="D71" s="10"/>
      <c r="E71" s="25"/>
      <c r="F71" s="25"/>
      <c r="G71" s="21"/>
      <c r="H71" s="22"/>
      <c r="I71" s="22"/>
      <c r="J71" s="133">
        <v>2</v>
      </c>
      <c r="K71" s="120" t="s">
        <v>195</v>
      </c>
      <c r="L71" s="9" t="s">
        <v>31</v>
      </c>
      <c r="M71" s="9" t="s">
        <v>203</v>
      </c>
      <c r="N71" s="145">
        <v>2</v>
      </c>
      <c r="O71">
        <f t="shared" si="0"/>
        <v>0</v>
      </c>
    </row>
    <row r="72" spans="1:15" ht="15.75">
      <c r="A72" s="24" t="s">
        <v>64</v>
      </c>
      <c r="B72" s="9" t="s">
        <v>31</v>
      </c>
      <c r="C72" s="10">
        <v>10</v>
      </c>
      <c r="D72" s="10"/>
      <c r="E72" s="25"/>
      <c r="F72" s="25">
        <f t="shared" ref="F72:F109" si="7">D72*E72</f>
        <v>0</v>
      </c>
      <c r="G72" s="21">
        <v>105</v>
      </c>
      <c r="H72" s="22">
        <f t="shared" ref="H72:H79" si="8">+G72*18%</f>
        <v>18.899999999999999</v>
      </c>
      <c r="I72" s="22">
        <f t="shared" ref="I72:I91" si="9">H72+G72</f>
        <v>123.9</v>
      </c>
      <c r="J72" s="133">
        <v>10</v>
      </c>
      <c r="K72" s="120" t="s">
        <v>64</v>
      </c>
      <c r="L72" s="9" t="s">
        <v>31</v>
      </c>
      <c r="M72" s="9" t="s">
        <v>203</v>
      </c>
      <c r="N72" s="145">
        <v>10</v>
      </c>
      <c r="O72">
        <f t="shared" ref="O72:O135" si="10">J72-N72</f>
        <v>0</v>
      </c>
    </row>
    <row r="73" spans="1:15" ht="15.75">
      <c r="A73" s="24" t="s">
        <v>63</v>
      </c>
      <c r="B73" s="9" t="s">
        <v>31</v>
      </c>
      <c r="C73" s="10">
        <v>2</v>
      </c>
      <c r="D73" s="10"/>
      <c r="E73" s="25"/>
      <c r="F73" s="25">
        <f t="shared" si="7"/>
        <v>0</v>
      </c>
      <c r="G73" s="21">
        <v>65</v>
      </c>
      <c r="H73" s="22">
        <f t="shared" si="8"/>
        <v>11.7</v>
      </c>
      <c r="I73" s="22">
        <f t="shared" si="9"/>
        <v>76.7</v>
      </c>
      <c r="J73" s="102">
        <v>0</v>
      </c>
      <c r="K73" s="120"/>
      <c r="L73" s="9"/>
      <c r="M73" s="9"/>
      <c r="N73" s="145"/>
      <c r="O73">
        <f t="shared" si="10"/>
        <v>0</v>
      </c>
    </row>
    <row r="74" spans="1:15" ht="15.75">
      <c r="A74" s="24" t="s">
        <v>62</v>
      </c>
      <c r="B74" s="9" t="s">
        <v>31</v>
      </c>
      <c r="C74" s="10">
        <v>25</v>
      </c>
      <c r="D74" s="10">
        <v>40</v>
      </c>
      <c r="E74" s="25">
        <f>7080/D74</f>
        <v>177</v>
      </c>
      <c r="F74" s="25">
        <f t="shared" si="7"/>
        <v>7080</v>
      </c>
      <c r="G74" s="21">
        <v>60</v>
      </c>
      <c r="H74" s="22">
        <f t="shared" si="8"/>
        <v>10.799999999999999</v>
      </c>
      <c r="I74" s="22">
        <f t="shared" si="9"/>
        <v>70.8</v>
      </c>
      <c r="J74" s="133">
        <v>62</v>
      </c>
      <c r="K74" s="120" t="s">
        <v>216</v>
      </c>
      <c r="L74" s="9" t="s">
        <v>31</v>
      </c>
      <c r="M74" s="9" t="s">
        <v>203</v>
      </c>
      <c r="N74" s="145">
        <v>62</v>
      </c>
      <c r="O74">
        <f t="shared" si="10"/>
        <v>0</v>
      </c>
    </row>
    <row r="75" spans="1:15" ht="15.75">
      <c r="A75" s="24" t="s">
        <v>65</v>
      </c>
      <c r="B75" s="9" t="s">
        <v>13</v>
      </c>
      <c r="C75" s="10">
        <v>25</v>
      </c>
      <c r="D75" s="10"/>
      <c r="E75" s="25"/>
      <c r="F75" s="25">
        <f t="shared" si="7"/>
        <v>0</v>
      </c>
      <c r="G75" s="11">
        <v>67</v>
      </c>
      <c r="H75" s="104">
        <f t="shared" si="8"/>
        <v>12.059999999999999</v>
      </c>
      <c r="I75" s="104">
        <f t="shared" si="9"/>
        <v>79.06</v>
      </c>
      <c r="J75" s="133">
        <v>10</v>
      </c>
      <c r="K75" s="120" t="s">
        <v>65</v>
      </c>
      <c r="L75" s="9" t="s">
        <v>13</v>
      </c>
      <c r="M75" s="9" t="s">
        <v>202</v>
      </c>
      <c r="N75" s="145">
        <v>10</v>
      </c>
      <c r="O75">
        <f t="shared" si="10"/>
        <v>0</v>
      </c>
    </row>
    <row r="76" spans="1:15" ht="15.75">
      <c r="A76" s="24" t="s">
        <v>168</v>
      </c>
      <c r="B76" s="9" t="s">
        <v>13</v>
      </c>
      <c r="C76" s="10">
        <v>15</v>
      </c>
      <c r="D76" s="10"/>
      <c r="E76" s="25"/>
      <c r="F76" s="25">
        <f t="shared" si="7"/>
        <v>0</v>
      </c>
      <c r="G76" s="11">
        <v>98</v>
      </c>
      <c r="H76" s="104">
        <f t="shared" si="8"/>
        <v>17.64</v>
      </c>
      <c r="I76" s="104">
        <f t="shared" si="9"/>
        <v>115.64</v>
      </c>
      <c r="J76" s="133">
        <v>15</v>
      </c>
      <c r="K76" s="120" t="s">
        <v>168</v>
      </c>
      <c r="L76" s="9" t="s">
        <v>13</v>
      </c>
      <c r="M76" s="9" t="s">
        <v>202</v>
      </c>
      <c r="N76" s="145">
        <v>15</v>
      </c>
      <c r="O76">
        <f t="shared" si="10"/>
        <v>0</v>
      </c>
    </row>
    <row r="77" spans="1:15" ht="15.75">
      <c r="A77" s="24" t="s">
        <v>67</v>
      </c>
      <c r="B77" s="9" t="s">
        <v>13</v>
      </c>
      <c r="C77" s="10">
        <v>33</v>
      </c>
      <c r="D77" s="10"/>
      <c r="E77" s="25"/>
      <c r="F77" s="25">
        <f t="shared" si="7"/>
        <v>0</v>
      </c>
      <c r="G77" s="21">
        <v>34</v>
      </c>
      <c r="H77" s="22">
        <f t="shared" si="8"/>
        <v>6.12</v>
      </c>
      <c r="I77" s="22">
        <f t="shared" si="9"/>
        <v>40.119999999999997</v>
      </c>
      <c r="J77" s="133">
        <v>33</v>
      </c>
      <c r="K77" s="120" t="s">
        <v>67</v>
      </c>
      <c r="L77" s="9" t="s">
        <v>13</v>
      </c>
      <c r="M77" s="9" t="s">
        <v>203</v>
      </c>
      <c r="N77" s="145">
        <v>33</v>
      </c>
      <c r="O77">
        <f t="shared" si="10"/>
        <v>0</v>
      </c>
    </row>
    <row r="78" spans="1:15" ht="15.75">
      <c r="A78" s="24" t="s">
        <v>68</v>
      </c>
      <c r="B78" s="9" t="s">
        <v>9</v>
      </c>
      <c r="C78" s="10">
        <v>36</v>
      </c>
      <c r="D78" s="10"/>
      <c r="E78" s="25"/>
      <c r="F78" s="25">
        <f t="shared" si="7"/>
        <v>0</v>
      </c>
      <c r="G78" s="11">
        <v>110</v>
      </c>
      <c r="H78" s="104">
        <f t="shared" si="8"/>
        <v>19.8</v>
      </c>
      <c r="I78" s="104">
        <f t="shared" si="9"/>
        <v>129.80000000000001</v>
      </c>
      <c r="J78" s="133">
        <v>21</v>
      </c>
      <c r="K78" s="120" t="s">
        <v>68</v>
      </c>
      <c r="L78" s="9" t="s">
        <v>9</v>
      </c>
      <c r="M78" s="9" t="s">
        <v>202</v>
      </c>
      <c r="N78" s="145">
        <v>21</v>
      </c>
      <c r="O78">
        <f t="shared" si="10"/>
        <v>0</v>
      </c>
    </row>
    <row r="79" spans="1:15" ht="15.75">
      <c r="A79" s="24" t="s">
        <v>69</v>
      </c>
      <c r="B79" s="9" t="s">
        <v>13</v>
      </c>
      <c r="C79" s="10">
        <v>14</v>
      </c>
      <c r="D79" s="10"/>
      <c r="E79" s="25"/>
      <c r="F79" s="25">
        <f t="shared" si="7"/>
        <v>0</v>
      </c>
      <c r="G79" s="21">
        <v>940</v>
      </c>
      <c r="H79" s="22">
        <f t="shared" si="8"/>
        <v>169.2</v>
      </c>
      <c r="I79" s="22">
        <f t="shared" si="9"/>
        <v>1109.2</v>
      </c>
      <c r="J79" s="133">
        <v>14</v>
      </c>
      <c r="K79" s="120" t="s">
        <v>69</v>
      </c>
      <c r="L79" s="9" t="s">
        <v>13</v>
      </c>
      <c r="M79" s="9" t="s">
        <v>203</v>
      </c>
      <c r="N79" s="145">
        <v>14</v>
      </c>
      <c r="O79">
        <f t="shared" si="10"/>
        <v>0</v>
      </c>
    </row>
    <row r="80" spans="1:15" ht="15.75">
      <c r="A80" s="24" t="s">
        <v>70</v>
      </c>
      <c r="B80" s="9" t="s">
        <v>31</v>
      </c>
      <c r="C80" s="10">
        <v>1</v>
      </c>
      <c r="D80" s="10">
        <v>10</v>
      </c>
      <c r="E80" s="25">
        <f>672.6/D80</f>
        <v>67.260000000000005</v>
      </c>
      <c r="F80" s="25">
        <f t="shared" si="7"/>
        <v>672.6</v>
      </c>
      <c r="G80" s="21">
        <v>211.65</v>
      </c>
      <c r="H80" s="22"/>
      <c r="I80" s="22">
        <f t="shared" si="9"/>
        <v>211.65</v>
      </c>
      <c r="J80" s="133">
        <v>12</v>
      </c>
      <c r="K80" s="120" t="s">
        <v>70</v>
      </c>
      <c r="L80" s="9" t="s">
        <v>31</v>
      </c>
      <c r="M80" s="9" t="s">
        <v>203</v>
      </c>
      <c r="N80" s="145">
        <v>12</v>
      </c>
      <c r="O80">
        <f t="shared" si="10"/>
        <v>0</v>
      </c>
    </row>
    <row r="81" spans="1:15" ht="15.75">
      <c r="A81" s="24" t="s">
        <v>71</v>
      </c>
      <c r="B81" s="9" t="s">
        <v>13</v>
      </c>
      <c r="C81" s="10">
        <v>60</v>
      </c>
      <c r="D81" s="10"/>
      <c r="E81" s="25"/>
      <c r="F81" s="25">
        <f t="shared" si="7"/>
        <v>0</v>
      </c>
      <c r="G81" s="11">
        <v>50</v>
      </c>
      <c r="H81" s="104">
        <f t="shared" ref="H81:H91" si="11">+G81*18%</f>
        <v>9</v>
      </c>
      <c r="I81" s="104">
        <f t="shared" si="9"/>
        <v>59</v>
      </c>
      <c r="J81" s="133">
        <v>42</v>
      </c>
      <c r="K81" s="120" t="s">
        <v>71</v>
      </c>
      <c r="L81" s="9" t="s">
        <v>13</v>
      </c>
      <c r="M81" s="9" t="s">
        <v>202</v>
      </c>
      <c r="N81" s="145">
        <v>42</v>
      </c>
      <c r="O81">
        <f t="shared" si="10"/>
        <v>0</v>
      </c>
    </row>
    <row r="82" spans="1:15" ht="15.75">
      <c r="A82" s="119" t="s">
        <v>72</v>
      </c>
      <c r="B82" s="9" t="s">
        <v>31</v>
      </c>
      <c r="C82" s="10">
        <v>25</v>
      </c>
      <c r="D82" s="10">
        <f>60*12</f>
        <v>720</v>
      </c>
      <c r="E82" s="25">
        <f>5310/D82</f>
        <v>7.375</v>
      </c>
      <c r="F82" s="25">
        <f t="shared" si="7"/>
        <v>5310</v>
      </c>
      <c r="G82" s="21">
        <v>95.49</v>
      </c>
      <c r="H82" s="22">
        <f t="shared" si="11"/>
        <v>17.188199999999998</v>
      </c>
      <c r="I82" s="22">
        <f t="shared" si="9"/>
        <v>112.67819999999999</v>
      </c>
      <c r="J82" s="133">
        <v>936</v>
      </c>
      <c r="K82" s="120" t="s">
        <v>72</v>
      </c>
      <c r="L82" s="9" t="s">
        <v>13</v>
      </c>
      <c r="M82" s="9" t="s">
        <v>203</v>
      </c>
      <c r="N82" s="145">
        <v>936</v>
      </c>
      <c r="O82">
        <f t="shared" si="10"/>
        <v>0</v>
      </c>
    </row>
    <row r="83" spans="1:15" ht="15.75">
      <c r="A83" s="24" t="s">
        <v>73</v>
      </c>
      <c r="B83" s="9" t="s">
        <v>13</v>
      </c>
      <c r="C83" s="10">
        <v>60</v>
      </c>
      <c r="D83" s="10"/>
      <c r="E83" s="25"/>
      <c r="F83" s="25">
        <f t="shared" si="7"/>
        <v>0</v>
      </c>
      <c r="G83" s="21">
        <v>6.4</v>
      </c>
      <c r="H83" s="22">
        <f t="shared" si="11"/>
        <v>1.1519999999999999</v>
      </c>
      <c r="I83" s="22">
        <f t="shared" si="9"/>
        <v>7.5520000000000005</v>
      </c>
      <c r="J83" s="133">
        <v>56</v>
      </c>
      <c r="K83" s="120" t="s">
        <v>73</v>
      </c>
      <c r="L83" s="9" t="s">
        <v>13</v>
      </c>
      <c r="M83" s="9" t="s">
        <v>203</v>
      </c>
      <c r="N83" s="145">
        <v>56</v>
      </c>
      <c r="O83">
        <f t="shared" si="10"/>
        <v>0</v>
      </c>
    </row>
    <row r="84" spans="1:15" ht="15.75">
      <c r="A84" s="24" t="s">
        <v>75</v>
      </c>
      <c r="B84" s="9" t="s">
        <v>31</v>
      </c>
      <c r="C84" s="10">
        <v>23</v>
      </c>
      <c r="D84" s="10"/>
      <c r="E84" s="25"/>
      <c r="F84" s="25">
        <f t="shared" si="7"/>
        <v>0</v>
      </c>
      <c r="G84" s="21">
        <v>105.5</v>
      </c>
      <c r="H84" s="22">
        <f t="shared" si="11"/>
        <v>18.989999999999998</v>
      </c>
      <c r="I84" s="22">
        <f t="shared" si="9"/>
        <v>124.49</v>
      </c>
      <c r="J84" s="133">
        <v>192</v>
      </c>
      <c r="K84" s="120" t="s">
        <v>75</v>
      </c>
      <c r="L84" s="9" t="s">
        <v>13</v>
      </c>
      <c r="M84" s="9" t="s">
        <v>203</v>
      </c>
      <c r="N84" s="145">
        <v>192</v>
      </c>
      <c r="O84">
        <f t="shared" si="10"/>
        <v>0</v>
      </c>
    </row>
    <row r="85" spans="1:15" ht="15.75">
      <c r="A85" s="24" t="s">
        <v>76</v>
      </c>
      <c r="B85" s="9" t="s">
        <v>9</v>
      </c>
      <c r="C85" s="10">
        <v>80</v>
      </c>
      <c r="D85" s="10"/>
      <c r="E85" s="25"/>
      <c r="F85" s="25">
        <f t="shared" si="7"/>
        <v>0</v>
      </c>
      <c r="G85" s="11">
        <v>130</v>
      </c>
      <c r="H85" s="104">
        <f t="shared" si="11"/>
        <v>23.4</v>
      </c>
      <c r="I85" s="104">
        <f t="shared" si="9"/>
        <v>153.4</v>
      </c>
      <c r="J85" s="133">
        <v>72</v>
      </c>
      <c r="K85" s="120" t="s">
        <v>76</v>
      </c>
      <c r="L85" s="9" t="s">
        <v>9</v>
      </c>
      <c r="M85" s="9" t="s">
        <v>202</v>
      </c>
      <c r="N85" s="145">
        <v>72</v>
      </c>
      <c r="O85">
        <f t="shared" si="10"/>
        <v>0</v>
      </c>
    </row>
    <row r="86" spans="1:15" ht="15.75">
      <c r="A86" s="24" t="s">
        <v>80</v>
      </c>
      <c r="B86" s="9" t="s">
        <v>13</v>
      </c>
      <c r="C86" s="10">
        <v>84</v>
      </c>
      <c r="D86" s="10">
        <v>25</v>
      </c>
      <c r="E86" s="25">
        <f>2301/D86</f>
        <v>92.04</v>
      </c>
      <c r="F86" s="25">
        <f t="shared" si="7"/>
        <v>2301</v>
      </c>
      <c r="G86" s="21">
        <v>57.88</v>
      </c>
      <c r="H86" s="22">
        <f t="shared" si="11"/>
        <v>10.4184</v>
      </c>
      <c r="I86" s="22">
        <f t="shared" si="9"/>
        <v>68.298400000000001</v>
      </c>
      <c r="J86" s="133">
        <v>98</v>
      </c>
      <c r="K86" s="120" t="s">
        <v>80</v>
      </c>
      <c r="L86" s="9" t="s">
        <v>13</v>
      </c>
      <c r="M86" s="9" t="s">
        <v>203</v>
      </c>
      <c r="N86" s="145">
        <v>98</v>
      </c>
      <c r="O86">
        <f t="shared" si="10"/>
        <v>0</v>
      </c>
    </row>
    <row r="87" spans="1:15" ht="15.75">
      <c r="A87" s="24" t="s">
        <v>79</v>
      </c>
      <c r="B87" s="9" t="s">
        <v>13</v>
      </c>
      <c r="C87" s="10">
        <v>57</v>
      </c>
      <c r="D87" s="10">
        <v>60</v>
      </c>
      <c r="E87" s="25">
        <f>2690.4/D87</f>
        <v>44.84</v>
      </c>
      <c r="F87" s="25">
        <f t="shared" si="7"/>
        <v>2690.4</v>
      </c>
      <c r="G87" s="21">
        <v>19.5</v>
      </c>
      <c r="H87" s="22">
        <f t="shared" si="11"/>
        <v>3.51</v>
      </c>
      <c r="I87" s="22">
        <f t="shared" si="9"/>
        <v>23.009999999999998</v>
      </c>
      <c r="J87" s="133">
        <v>92</v>
      </c>
      <c r="K87" s="120" t="s">
        <v>79</v>
      </c>
      <c r="L87" s="9" t="s">
        <v>13</v>
      </c>
      <c r="M87" s="9" t="s">
        <v>203</v>
      </c>
      <c r="N87" s="145">
        <v>92</v>
      </c>
      <c r="O87">
        <f t="shared" si="10"/>
        <v>0</v>
      </c>
    </row>
    <row r="88" spans="1:15" ht="15.75">
      <c r="A88" s="24" t="s">
        <v>78</v>
      </c>
      <c r="B88" s="9" t="s">
        <v>13</v>
      </c>
      <c r="C88" s="10">
        <v>13</v>
      </c>
      <c r="D88" s="10"/>
      <c r="E88" s="25"/>
      <c r="F88" s="25">
        <f t="shared" si="7"/>
        <v>0</v>
      </c>
      <c r="G88" s="21">
        <v>224.99</v>
      </c>
      <c r="H88" s="22">
        <f t="shared" si="11"/>
        <v>40.498199999999997</v>
      </c>
      <c r="I88" s="22">
        <f t="shared" si="9"/>
        <v>265.48820000000001</v>
      </c>
      <c r="J88" s="133">
        <v>11</v>
      </c>
      <c r="K88" s="120" t="s">
        <v>78</v>
      </c>
      <c r="L88" s="9" t="s">
        <v>13</v>
      </c>
      <c r="M88" s="9" t="s">
        <v>203</v>
      </c>
      <c r="N88" s="145">
        <v>11</v>
      </c>
      <c r="O88">
        <f t="shared" si="10"/>
        <v>0</v>
      </c>
    </row>
    <row r="89" spans="1:15" ht="15.75">
      <c r="A89" s="24" t="s">
        <v>77</v>
      </c>
      <c r="B89" s="9" t="s">
        <v>13</v>
      </c>
      <c r="C89" s="10">
        <v>24</v>
      </c>
      <c r="D89" s="10"/>
      <c r="E89" s="25"/>
      <c r="F89" s="25">
        <f t="shared" si="7"/>
        <v>0</v>
      </c>
      <c r="G89" s="21">
        <v>330.55</v>
      </c>
      <c r="H89" s="22">
        <f t="shared" si="11"/>
        <v>59.499000000000002</v>
      </c>
      <c r="I89" s="22">
        <f t="shared" si="9"/>
        <v>390.04900000000004</v>
      </c>
      <c r="J89" s="133">
        <v>22</v>
      </c>
      <c r="K89" s="120" t="s">
        <v>77</v>
      </c>
      <c r="L89" s="9" t="s">
        <v>13</v>
      </c>
      <c r="M89" s="9" t="s">
        <v>203</v>
      </c>
      <c r="N89" s="145">
        <v>22</v>
      </c>
      <c r="O89">
        <f t="shared" si="10"/>
        <v>0</v>
      </c>
    </row>
    <row r="90" spans="1:15" ht="15.75">
      <c r="A90" s="70" t="s">
        <v>81</v>
      </c>
      <c r="B90" s="38" t="s">
        <v>9</v>
      </c>
      <c r="C90" s="39">
        <v>1</v>
      </c>
      <c r="D90" s="39"/>
      <c r="E90" s="114"/>
      <c r="F90" s="25">
        <f t="shared" si="7"/>
        <v>0</v>
      </c>
      <c r="G90" s="44">
        <v>120</v>
      </c>
      <c r="H90" s="105">
        <f t="shared" si="11"/>
        <v>21.599999999999998</v>
      </c>
      <c r="I90" s="105">
        <f t="shared" si="9"/>
        <v>141.6</v>
      </c>
      <c r="J90" s="133">
        <v>7</v>
      </c>
      <c r="K90" s="120" t="s">
        <v>81</v>
      </c>
      <c r="L90" s="9" t="s">
        <v>9</v>
      </c>
      <c r="M90" s="9" t="s">
        <v>202</v>
      </c>
      <c r="N90" s="145">
        <v>7</v>
      </c>
      <c r="O90">
        <f t="shared" si="10"/>
        <v>0</v>
      </c>
    </row>
    <row r="91" spans="1:15" ht="15.75">
      <c r="A91" s="24" t="s">
        <v>165</v>
      </c>
      <c r="B91" s="96" t="s">
        <v>166</v>
      </c>
      <c r="C91" s="97">
        <v>8</v>
      </c>
      <c r="D91" s="97"/>
      <c r="E91" s="115"/>
      <c r="F91" s="25">
        <f t="shared" si="7"/>
        <v>0</v>
      </c>
      <c r="G91" s="103">
        <v>195</v>
      </c>
      <c r="H91" s="103">
        <f t="shared" si="11"/>
        <v>35.1</v>
      </c>
      <c r="I91" s="103">
        <f t="shared" si="9"/>
        <v>230.1</v>
      </c>
      <c r="J91" s="133">
        <v>6</v>
      </c>
      <c r="K91" s="120" t="s">
        <v>217</v>
      </c>
      <c r="L91" s="9" t="s">
        <v>9</v>
      </c>
      <c r="M91" s="9" t="s">
        <v>202</v>
      </c>
      <c r="N91" s="145">
        <v>6</v>
      </c>
      <c r="O91">
        <f t="shared" si="10"/>
        <v>0</v>
      </c>
    </row>
    <row r="92" spans="1:15" ht="15.75">
      <c r="A92" s="120" t="s">
        <v>186</v>
      </c>
      <c r="B92" s="9" t="s">
        <v>13</v>
      </c>
      <c r="C92" s="97"/>
      <c r="D92" s="97">
        <v>4</v>
      </c>
      <c r="E92" s="115">
        <f>15340/D92</f>
        <v>3835</v>
      </c>
      <c r="F92" s="25">
        <f t="shared" si="7"/>
        <v>15340</v>
      </c>
      <c r="G92" s="103"/>
      <c r="H92" s="103"/>
      <c r="I92" s="103"/>
      <c r="J92" s="133">
        <v>4</v>
      </c>
      <c r="K92" s="120" t="s">
        <v>186</v>
      </c>
      <c r="L92" s="9" t="s">
        <v>13</v>
      </c>
      <c r="M92" s="9" t="s">
        <v>203</v>
      </c>
      <c r="N92" s="145">
        <v>4</v>
      </c>
      <c r="O92">
        <f t="shared" si="10"/>
        <v>0</v>
      </c>
    </row>
    <row r="93" spans="1:15" ht="15.75">
      <c r="A93" s="24" t="s">
        <v>82</v>
      </c>
      <c r="B93" s="96" t="s">
        <v>31</v>
      </c>
      <c r="C93" s="97">
        <v>13</v>
      </c>
      <c r="D93" s="97">
        <v>20</v>
      </c>
      <c r="E93" s="115">
        <f>7221.6/20</f>
        <v>361.08000000000004</v>
      </c>
      <c r="F93" s="25">
        <f t="shared" si="7"/>
        <v>7221.6</v>
      </c>
      <c r="G93" s="98">
        <v>321</v>
      </c>
      <c r="H93" s="98">
        <f t="shared" ref="H93:H107" si="12">+G93*18%</f>
        <v>57.78</v>
      </c>
      <c r="I93" s="98">
        <f t="shared" ref="I93:I107" si="13">H93+G93</f>
        <v>378.78</v>
      </c>
      <c r="J93" s="133">
        <v>273</v>
      </c>
      <c r="K93" s="120" t="s">
        <v>218</v>
      </c>
      <c r="L93" s="9" t="s">
        <v>13</v>
      </c>
      <c r="M93" s="9" t="s">
        <v>203</v>
      </c>
      <c r="N93" s="145">
        <v>273</v>
      </c>
      <c r="O93">
        <f t="shared" si="10"/>
        <v>0</v>
      </c>
    </row>
    <row r="94" spans="1:15" ht="15.75">
      <c r="A94" s="52" t="s">
        <v>83</v>
      </c>
      <c r="B94" s="20" t="s">
        <v>13</v>
      </c>
      <c r="C94" s="102">
        <v>60</v>
      </c>
      <c r="D94" s="102">
        <v>15</v>
      </c>
      <c r="E94" s="32">
        <f>(6124.2/15)</f>
        <v>408.28</v>
      </c>
      <c r="F94" s="25">
        <f t="shared" si="7"/>
        <v>6124.2</v>
      </c>
      <c r="G94" s="22">
        <v>23.76</v>
      </c>
      <c r="H94" s="22">
        <f t="shared" si="12"/>
        <v>4.2767999999999997</v>
      </c>
      <c r="I94" s="22">
        <f t="shared" si="13"/>
        <v>28.036799999999999</v>
      </c>
      <c r="J94" s="133">
        <v>192</v>
      </c>
      <c r="K94" s="120" t="s">
        <v>83</v>
      </c>
      <c r="L94" s="9" t="s">
        <v>13</v>
      </c>
      <c r="M94" s="9" t="s">
        <v>203</v>
      </c>
      <c r="N94" s="145">
        <v>192</v>
      </c>
      <c r="O94">
        <f t="shared" si="10"/>
        <v>0</v>
      </c>
    </row>
    <row r="95" spans="1:15" ht="15.75">
      <c r="A95" s="24" t="s">
        <v>85</v>
      </c>
      <c r="B95" s="9" t="s">
        <v>29</v>
      </c>
      <c r="C95" s="10">
        <v>23</v>
      </c>
      <c r="D95" s="10"/>
      <c r="E95" s="25"/>
      <c r="F95" s="25">
        <f t="shared" si="7"/>
        <v>0</v>
      </c>
      <c r="G95" s="11">
        <v>230</v>
      </c>
      <c r="H95" s="11">
        <f t="shared" si="12"/>
        <v>41.4</v>
      </c>
      <c r="I95" s="11">
        <f t="shared" si="13"/>
        <v>271.39999999999998</v>
      </c>
      <c r="J95" s="133">
        <v>13</v>
      </c>
      <c r="K95" s="120" t="s">
        <v>85</v>
      </c>
      <c r="L95" s="9" t="s">
        <v>29</v>
      </c>
      <c r="M95" s="9" t="s">
        <v>202</v>
      </c>
      <c r="N95" s="145">
        <v>13</v>
      </c>
      <c r="O95">
        <f t="shared" si="10"/>
        <v>0</v>
      </c>
    </row>
    <row r="96" spans="1:15" ht="15.75">
      <c r="A96" s="24" t="s">
        <v>87</v>
      </c>
      <c r="B96" s="9" t="s">
        <v>13</v>
      </c>
      <c r="C96" s="10">
        <v>27</v>
      </c>
      <c r="D96" s="10"/>
      <c r="E96" s="25"/>
      <c r="F96" s="25">
        <f t="shared" si="7"/>
        <v>0</v>
      </c>
      <c r="G96" s="11">
        <v>90</v>
      </c>
      <c r="H96" s="11">
        <f t="shared" si="12"/>
        <v>16.2</v>
      </c>
      <c r="I96" s="11">
        <f t="shared" si="13"/>
        <v>106.2</v>
      </c>
      <c r="J96" s="133">
        <v>14</v>
      </c>
      <c r="K96" s="120" t="s">
        <v>219</v>
      </c>
      <c r="L96" s="9" t="s">
        <v>13</v>
      </c>
      <c r="M96" s="9" t="s">
        <v>202</v>
      </c>
      <c r="N96" s="145">
        <v>14</v>
      </c>
      <c r="O96">
        <f t="shared" si="10"/>
        <v>0</v>
      </c>
    </row>
    <row r="97" spans="1:15" ht="15.75">
      <c r="A97" s="24" t="s">
        <v>88</v>
      </c>
      <c r="B97" s="9" t="s">
        <v>89</v>
      </c>
      <c r="C97" s="10">
        <v>90</v>
      </c>
      <c r="D97" s="10">
        <v>250</v>
      </c>
      <c r="E97" s="25">
        <f>109150/D97</f>
        <v>436.6</v>
      </c>
      <c r="F97" s="25">
        <f t="shared" si="7"/>
        <v>109150</v>
      </c>
      <c r="G97" s="21">
        <v>375</v>
      </c>
      <c r="H97" s="21">
        <f t="shared" si="12"/>
        <v>67.5</v>
      </c>
      <c r="I97" s="21">
        <f t="shared" si="13"/>
        <v>442.5</v>
      </c>
      <c r="J97" s="133">
        <v>302</v>
      </c>
      <c r="K97" s="120" t="s">
        <v>88</v>
      </c>
      <c r="L97" s="9" t="s">
        <v>89</v>
      </c>
      <c r="M97" s="9" t="s">
        <v>203</v>
      </c>
      <c r="N97" s="145">
        <v>302</v>
      </c>
      <c r="O97">
        <f t="shared" si="10"/>
        <v>0</v>
      </c>
    </row>
    <row r="98" spans="1:15" ht="15.75">
      <c r="A98" s="24" t="s">
        <v>90</v>
      </c>
      <c r="B98" s="9" t="s">
        <v>89</v>
      </c>
      <c r="C98" s="10">
        <v>9</v>
      </c>
      <c r="D98" s="10">
        <v>15</v>
      </c>
      <c r="E98" s="25">
        <f>7611/D98</f>
        <v>507.4</v>
      </c>
      <c r="F98" s="25">
        <f t="shared" si="7"/>
        <v>7611</v>
      </c>
      <c r="G98" s="21">
        <v>360</v>
      </c>
      <c r="H98" s="21">
        <f t="shared" si="12"/>
        <v>64.8</v>
      </c>
      <c r="I98" s="21">
        <f t="shared" si="13"/>
        <v>424.8</v>
      </c>
      <c r="J98" s="133">
        <v>22</v>
      </c>
      <c r="K98" s="120" t="s">
        <v>90</v>
      </c>
      <c r="L98" s="9" t="s">
        <v>89</v>
      </c>
      <c r="M98" s="9" t="s">
        <v>203</v>
      </c>
      <c r="N98" s="145">
        <v>22</v>
      </c>
      <c r="O98">
        <f t="shared" si="10"/>
        <v>0</v>
      </c>
    </row>
    <row r="99" spans="1:15" ht="15.75">
      <c r="A99" s="24" t="s">
        <v>96</v>
      </c>
      <c r="B99" s="9" t="s">
        <v>29</v>
      </c>
      <c r="C99" s="10">
        <v>2</v>
      </c>
      <c r="D99" s="10"/>
      <c r="E99" s="25"/>
      <c r="F99" s="25">
        <f t="shared" si="7"/>
        <v>0</v>
      </c>
      <c r="G99" s="21">
        <v>241.8</v>
      </c>
      <c r="H99" s="21">
        <f t="shared" si="12"/>
        <v>43.524000000000001</v>
      </c>
      <c r="I99" s="21">
        <f t="shared" si="13"/>
        <v>285.32400000000001</v>
      </c>
      <c r="J99" s="133">
        <v>2</v>
      </c>
      <c r="K99" s="120" t="s">
        <v>96</v>
      </c>
      <c r="L99" s="9" t="s">
        <v>29</v>
      </c>
      <c r="M99" s="9" t="s">
        <v>203</v>
      </c>
      <c r="N99" s="145">
        <v>2</v>
      </c>
      <c r="O99">
        <f t="shared" si="10"/>
        <v>0</v>
      </c>
    </row>
    <row r="100" spans="1:15" ht="15.75">
      <c r="A100" s="24" t="s">
        <v>95</v>
      </c>
      <c r="B100" s="9" t="s">
        <v>13</v>
      </c>
      <c r="C100" s="10">
        <v>40</v>
      </c>
      <c r="D100" s="10">
        <v>24</v>
      </c>
      <c r="E100" s="25">
        <f>906.24/D100</f>
        <v>37.76</v>
      </c>
      <c r="F100" s="25">
        <f t="shared" si="7"/>
        <v>906.24</v>
      </c>
      <c r="G100" s="21">
        <v>18</v>
      </c>
      <c r="H100" s="21">
        <f t="shared" si="12"/>
        <v>3.2399999999999998</v>
      </c>
      <c r="I100" s="21">
        <f t="shared" si="13"/>
        <v>21.24</v>
      </c>
      <c r="J100" s="133">
        <v>64</v>
      </c>
      <c r="K100" s="120" t="s">
        <v>95</v>
      </c>
      <c r="L100" s="9" t="s">
        <v>13</v>
      </c>
      <c r="M100" s="9" t="s">
        <v>203</v>
      </c>
      <c r="N100" s="145">
        <v>64</v>
      </c>
      <c r="O100">
        <f t="shared" si="10"/>
        <v>0</v>
      </c>
    </row>
    <row r="101" spans="1:15" ht="15.75">
      <c r="A101" s="24" t="s">
        <v>91</v>
      </c>
      <c r="B101" s="9" t="s">
        <v>11</v>
      </c>
      <c r="C101" s="10">
        <v>33</v>
      </c>
      <c r="D101" s="10"/>
      <c r="E101" s="25"/>
      <c r="F101" s="25">
        <f t="shared" si="7"/>
        <v>0</v>
      </c>
      <c r="G101" s="11">
        <v>1525</v>
      </c>
      <c r="H101" s="11">
        <f t="shared" si="12"/>
        <v>274.5</v>
      </c>
      <c r="I101" s="11">
        <f t="shared" si="13"/>
        <v>1799.5</v>
      </c>
      <c r="J101" s="133">
        <v>346</v>
      </c>
      <c r="K101" s="120" t="s">
        <v>91</v>
      </c>
      <c r="L101" s="9" t="s">
        <v>13</v>
      </c>
      <c r="M101" s="9" t="s">
        <v>202</v>
      </c>
      <c r="N101" s="145">
        <v>346</v>
      </c>
      <c r="O101">
        <f t="shared" si="10"/>
        <v>0</v>
      </c>
    </row>
    <row r="102" spans="1:15" ht="15.75">
      <c r="A102" s="24" t="s">
        <v>92</v>
      </c>
      <c r="B102" s="9" t="s">
        <v>29</v>
      </c>
      <c r="C102" s="10">
        <v>14</v>
      </c>
      <c r="D102" s="10"/>
      <c r="E102" s="25"/>
      <c r="F102" s="25">
        <f t="shared" si="7"/>
        <v>0</v>
      </c>
      <c r="G102" s="11">
        <v>675</v>
      </c>
      <c r="H102" s="11">
        <f t="shared" si="12"/>
        <v>121.5</v>
      </c>
      <c r="I102" s="11">
        <f t="shared" si="13"/>
        <v>796.5</v>
      </c>
      <c r="J102" s="133">
        <v>88</v>
      </c>
      <c r="K102" s="148" t="s">
        <v>92</v>
      </c>
      <c r="L102" s="9" t="s">
        <v>13</v>
      </c>
      <c r="M102" s="9" t="s">
        <v>202</v>
      </c>
      <c r="N102" s="145">
        <v>88</v>
      </c>
      <c r="O102">
        <f t="shared" si="10"/>
        <v>0</v>
      </c>
    </row>
    <row r="103" spans="1:15" ht="15.75">
      <c r="A103" s="24" t="s">
        <v>99</v>
      </c>
      <c r="B103" s="9" t="s">
        <v>13</v>
      </c>
      <c r="C103" s="10">
        <v>25</v>
      </c>
      <c r="D103" s="10"/>
      <c r="E103" s="25"/>
      <c r="F103" s="25">
        <f t="shared" si="7"/>
        <v>0</v>
      </c>
      <c r="G103" s="21">
        <v>120</v>
      </c>
      <c r="H103" s="21">
        <f t="shared" si="12"/>
        <v>21.599999999999998</v>
      </c>
      <c r="I103" s="108">
        <f t="shared" si="13"/>
        <v>141.6</v>
      </c>
      <c r="J103" s="133">
        <v>25</v>
      </c>
      <c r="K103" s="120" t="s">
        <v>99</v>
      </c>
      <c r="L103" s="9" t="s">
        <v>13</v>
      </c>
      <c r="M103" s="9" t="s">
        <v>203</v>
      </c>
      <c r="N103" s="145">
        <v>25</v>
      </c>
      <c r="O103">
        <f t="shared" si="10"/>
        <v>0</v>
      </c>
    </row>
    <row r="104" spans="1:15" ht="15.75">
      <c r="A104" s="24" t="s">
        <v>146</v>
      </c>
      <c r="B104" s="9" t="s">
        <v>31</v>
      </c>
      <c r="C104" s="10">
        <v>4</v>
      </c>
      <c r="D104" s="10"/>
      <c r="E104" s="25"/>
      <c r="F104" s="25">
        <f t="shared" si="7"/>
        <v>0</v>
      </c>
      <c r="G104" s="21">
        <v>785</v>
      </c>
      <c r="H104" s="21">
        <f t="shared" si="12"/>
        <v>141.29999999999998</v>
      </c>
      <c r="I104" s="108">
        <f t="shared" si="13"/>
        <v>926.3</v>
      </c>
      <c r="J104" s="133">
        <v>109</v>
      </c>
      <c r="K104" s="120" t="s">
        <v>146</v>
      </c>
      <c r="L104" s="9" t="s">
        <v>13</v>
      </c>
      <c r="M104" s="9" t="s">
        <v>203</v>
      </c>
      <c r="N104" s="145">
        <v>109</v>
      </c>
      <c r="O104">
        <f t="shared" si="10"/>
        <v>0</v>
      </c>
    </row>
    <row r="105" spans="1:15" ht="15.75">
      <c r="A105" s="24" t="s">
        <v>98</v>
      </c>
      <c r="B105" s="9" t="s">
        <v>31</v>
      </c>
      <c r="C105" s="10">
        <v>13</v>
      </c>
      <c r="D105" s="10"/>
      <c r="E105" s="25"/>
      <c r="F105" s="25">
        <f t="shared" si="7"/>
        <v>0</v>
      </c>
      <c r="G105" s="21">
        <v>912.34</v>
      </c>
      <c r="H105" s="21">
        <f t="shared" si="12"/>
        <v>164.22120000000001</v>
      </c>
      <c r="I105" s="108">
        <f t="shared" si="13"/>
        <v>1076.5612000000001</v>
      </c>
      <c r="J105" s="133">
        <v>325</v>
      </c>
      <c r="K105" s="120" t="s">
        <v>98</v>
      </c>
      <c r="L105" s="9" t="s">
        <v>13</v>
      </c>
      <c r="M105" s="9" t="s">
        <v>203</v>
      </c>
      <c r="N105" s="145">
        <v>325</v>
      </c>
      <c r="O105">
        <f t="shared" si="10"/>
        <v>0</v>
      </c>
    </row>
    <row r="106" spans="1:15" ht="15.75">
      <c r="A106" s="24" t="s">
        <v>93</v>
      </c>
      <c r="B106" s="9" t="s">
        <v>13</v>
      </c>
      <c r="C106" s="10">
        <v>19</v>
      </c>
      <c r="D106" s="10"/>
      <c r="E106" s="25"/>
      <c r="F106" s="25">
        <f t="shared" si="7"/>
        <v>0</v>
      </c>
      <c r="G106" s="21">
        <v>360</v>
      </c>
      <c r="H106" s="21">
        <f t="shared" si="12"/>
        <v>64.8</v>
      </c>
      <c r="I106" s="108">
        <f t="shared" si="13"/>
        <v>424.8</v>
      </c>
      <c r="J106" s="133">
        <v>19</v>
      </c>
      <c r="K106" s="120" t="s">
        <v>93</v>
      </c>
      <c r="L106" s="9" t="s">
        <v>13</v>
      </c>
      <c r="M106" s="9" t="s">
        <v>203</v>
      </c>
      <c r="N106" s="145">
        <v>19</v>
      </c>
      <c r="O106">
        <f t="shared" si="10"/>
        <v>0</v>
      </c>
    </row>
    <row r="107" spans="1:15" ht="15.75">
      <c r="A107" s="24" t="s">
        <v>94</v>
      </c>
      <c r="B107" s="9" t="s">
        <v>13</v>
      </c>
      <c r="C107" s="10">
        <v>7</v>
      </c>
      <c r="D107" s="10">
        <v>15</v>
      </c>
      <c r="E107" s="25">
        <f>7788/15</f>
        <v>519.20000000000005</v>
      </c>
      <c r="F107" s="25">
        <f t="shared" si="7"/>
        <v>7788.0000000000009</v>
      </c>
      <c r="G107" s="21">
        <v>495</v>
      </c>
      <c r="H107" s="21">
        <f t="shared" si="12"/>
        <v>89.1</v>
      </c>
      <c r="I107" s="108">
        <f t="shared" si="13"/>
        <v>584.1</v>
      </c>
      <c r="J107" s="133">
        <v>21</v>
      </c>
      <c r="K107" s="120" t="s">
        <v>94</v>
      </c>
      <c r="L107" s="9" t="s">
        <v>13</v>
      </c>
      <c r="M107" s="9" t="s">
        <v>203</v>
      </c>
      <c r="N107" s="145">
        <v>21</v>
      </c>
      <c r="O107">
        <f t="shared" si="10"/>
        <v>0</v>
      </c>
    </row>
    <row r="108" spans="1:15" ht="15.75">
      <c r="A108" s="137" t="s">
        <v>97</v>
      </c>
      <c r="B108" s="135" t="s">
        <v>29</v>
      </c>
      <c r="C108" s="136"/>
      <c r="D108" s="136">
        <v>12</v>
      </c>
      <c r="E108" s="131">
        <f>23364/D108</f>
        <v>1947</v>
      </c>
      <c r="F108" s="131">
        <f t="shared" si="7"/>
        <v>23364</v>
      </c>
      <c r="G108" s="131"/>
      <c r="H108" s="131"/>
      <c r="I108" s="138"/>
      <c r="J108" s="133">
        <v>1</v>
      </c>
      <c r="K108" s="137" t="s">
        <v>97</v>
      </c>
      <c r="L108" s="135" t="s">
        <v>29</v>
      </c>
      <c r="M108" s="135" t="s">
        <v>203</v>
      </c>
      <c r="N108" s="145">
        <v>12</v>
      </c>
      <c r="O108">
        <f t="shared" si="10"/>
        <v>-11</v>
      </c>
    </row>
    <row r="109" spans="1:15" ht="15.75">
      <c r="A109" s="70" t="s">
        <v>97</v>
      </c>
      <c r="B109" s="38" t="s">
        <v>13</v>
      </c>
      <c r="C109" s="10">
        <v>500</v>
      </c>
      <c r="D109" s="10"/>
      <c r="E109" s="25"/>
      <c r="F109" s="25">
        <f t="shared" si="7"/>
        <v>0</v>
      </c>
      <c r="G109" s="21">
        <v>1.5</v>
      </c>
      <c r="H109" s="21">
        <f>+G109*18%</f>
        <v>0.27</v>
      </c>
      <c r="I109" s="108">
        <f>H109+G109</f>
        <v>1.77</v>
      </c>
      <c r="J109" s="133">
        <v>12</v>
      </c>
      <c r="K109" s="137" t="s">
        <v>97</v>
      </c>
      <c r="L109" s="135" t="s">
        <v>13</v>
      </c>
      <c r="M109" s="135" t="s">
        <v>203</v>
      </c>
      <c r="N109" s="136">
        <v>1</v>
      </c>
      <c r="O109">
        <f t="shared" si="10"/>
        <v>11</v>
      </c>
    </row>
    <row r="110" spans="1:15" ht="15.75">
      <c r="A110" s="120" t="s">
        <v>198</v>
      </c>
      <c r="B110" s="9"/>
      <c r="C110" s="121"/>
      <c r="D110" s="10"/>
      <c r="E110" s="25"/>
      <c r="F110" s="25"/>
      <c r="G110" s="21"/>
      <c r="H110" s="21"/>
      <c r="I110" s="108"/>
      <c r="J110" s="133">
        <v>2</v>
      </c>
      <c r="K110" s="120" t="s">
        <v>198</v>
      </c>
      <c r="L110" s="9" t="s">
        <v>13</v>
      </c>
      <c r="M110" s="9" t="s">
        <v>203</v>
      </c>
      <c r="N110" s="145">
        <v>2</v>
      </c>
      <c r="O110">
        <f t="shared" si="10"/>
        <v>0</v>
      </c>
    </row>
    <row r="111" spans="1:15" ht="15.75">
      <c r="A111" s="120" t="s">
        <v>187</v>
      </c>
      <c r="B111" s="9" t="s">
        <v>13</v>
      </c>
      <c r="C111" s="122"/>
      <c r="D111" s="10">
        <v>2</v>
      </c>
      <c r="E111" s="25">
        <f>1700/D111</f>
        <v>850</v>
      </c>
      <c r="F111" s="25">
        <f t="shared" ref="F111:F142" si="14">D111*E111</f>
        <v>1700</v>
      </c>
      <c r="G111" s="21"/>
      <c r="H111" s="21"/>
      <c r="I111" s="108"/>
      <c r="J111" s="133">
        <v>2</v>
      </c>
      <c r="K111" s="120" t="s">
        <v>187</v>
      </c>
      <c r="L111" s="9" t="s">
        <v>13</v>
      </c>
      <c r="M111" s="9" t="s">
        <v>203</v>
      </c>
      <c r="N111" s="145">
        <v>2</v>
      </c>
      <c r="O111">
        <f t="shared" si="10"/>
        <v>0</v>
      </c>
    </row>
    <row r="112" spans="1:15" ht="15.75">
      <c r="A112" s="120" t="s">
        <v>183</v>
      </c>
      <c r="B112" s="125" t="s">
        <v>13</v>
      </c>
      <c r="C112" s="97"/>
      <c r="D112" s="121">
        <v>2</v>
      </c>
      <c r="E112" s="25">
        <f>5200/D112</f>
        <v>2600</v>
      </c>
      <c r="F112" s="25">
        <f t="shared" si="14"/>
        <v>5200</v>
      </c>
      <c r="G112" s="21"/>
      <c r="H112" s="21"/>
      <c r="I112" s="108"/>
      <c r="J112" s="133">
        <v>2</v>
      </c>
      <c r="K112" s="120" t="s">
        <v>183</v>
      </c>
      <c r="L112" s="9" t="s">
        <v>13</v>
      </c>
      <c r="M112" s="9" t="s">
        <v>203</v>
      </c>
      <c r="N112" s="145">
        <v>2</v>
      </c>
      <c r="O112">
        <f t="shared" si="10"/>
        <v>0</v>
      </c>
    </row>
    <row r="113" spans="1:15" ht="15.75">
      <c r="A113" s="24" t="s">
        <v>145</v>
      </c>
      <c r="B113" s="96" t="s">
        <v>29</v>
      </c>
      <c r="C113" s="139">
        <v>4</v>
      </c>
      <c r="D113" s="10"/>
      <c r="E113" s="25"/>
      <c r="F113" s="25">
        <f t="shared" si="14"/>
        <v>0</v>
      </c>
      <c r="G113" s="21">
        <v>260</v>
      </c>
      <c r="H113" s="21">
        <f>+G113*18%</f>
        <v>46.8</v>
      </c>
      <c r="I113" s="108">
        <f>H113+G113</f>
        <v>306.8</v>
      </c>
      <c r="J113" s="133">
        <v>74</v>
      </c>
      <c r="K113" s="120" t="s">
        <v>220</v>
      </c>
      <c r="L113" s="9" t="s">
        <v>29</v>
      </c>
      <c r="M113" s="9" t="s">
        <v>203</v>
      </c>
      <c r="N113" s="145">
        <v>74</v>
      </c>
      <c r="O113">
        <f t="shared" si="10"/>
        <v>0</v>
      </c>
    </row>
    <row r="114" spans="1:15" ht="15.75">
      <c r="A114" s="24" t="s">
        <v>102</v>
      </c>
      <c r="B114" s="96" t="s">
        <v>13</v>
      </c>
      <c r="C114" s="121">
        <v>20</v>
      </c>
      <c r="D114" s="10"/>
      <c r="E114" s="25"/>
      <c r="F114" s="25">
        <f t="shared" si="14"/>
        <v>0</v>
      </c>
      <c r="G114" s="21">
        <v>84</v>
      </c>
      <c r="H114" s="21">
        <f>+G114*18%</f>
        <v>15.12</v>
      </c>
      <c r="I114" s="106">
        <f>H114+G114</f>
        <v>99.12</v>
      </c>
      <c r="J114" s="133">
        <v>7</v>
      </c>
      <c r="K114" s="120" t="s">
        <v>222</v>
      </c>
      <c r="L114" s="9" t="s">
        <v>13</v>
      </c>
      <c r="M114" s="9" t="s">
        <v>203</v>
      </c>
      <c r="N114" s="145">
        <v>7</v>
      </c>
      <c r="O114">
        <f t="shared" si="10"/>
        <v>0</v>
      </c>
    </row>
    <row r="115" spans="1:15" ht="15.75">
      <c r="A115" s="24" t="s">
        <v>103</v>
      </c>
      <c r="B115" s="96" t="s">
        <v>29</v>
      </c>
      <c r="C115" s="122">
        <v>7</v>
      </c>
      <c r="D115" s="39"/>
      <c r="E115" s="114"/>
      <c r="F115" s="25">
        <f t="shared" si="14"/>
        <v>0</v>
      </c>
      <c r="G115" s="40">
        <v>50</v>
      </c>
      <c r="H115" s="106">
        <f>+G115*18%</f>
        <v>9</v>
      </c>
      <c r="I115" s="109">
        <f>H115+G115</f>
        <v>59</v>
      </c>
      <c r="J115" s="133">
        <v>7</v>
      </c>
      <c r="K115" s="120" t="s">
        <v>103</v>
      </c>
      <c r="L115" s="9" t="s">
        <v>29</v>
      </c>
      <c r="M115" s="9" t="s">
        <v>203</v>
      </c>
      <c r="N115" s="145">
        <v>7</v>
      </c>
      <c r="O115">
        <f t="shared" si="10"/>
        <v>0</v>
      </c>
    </row>
    <row r="116" spans="1:15" ht="15.75">
      <c r="A116" s="24" t="s">
        <v>100</v>
      </c>
      <c r="B116" s="96" t="s">
        <v>29</v>
      </c>
      <c r="C116" s="121">
        <v>2</v>
      </c>
      <c r="D116" s="10">
        <v>60</v>
      </c>
      <c r="E116" s="25">
        <f>2265.6/D116</f>
        <v>37.76</v>
      </c>
      <c r="F116" s="25">
        <f t="shared" si="14"/>
        <v>2265.6</v>
      </c>
      <c r="G116" s="21">
        <v>282</v>
      </c>
      <c r="H116" s="21">
        <f>+G116*18%</f>
        <v>50.76</v>
      </c>
      <c r="I116" s="21">
        <f>H116+G116</f>
        <v>332.76</v>
      </c>
      <c r="J116" s="133">
        <v>54</v>
      </c>
      <c r="K116" s="137" t="s">
        <v>221</v>
      </c>
      <c r="L116" s="135" t="s">
        <v>13</v>
      </c>
      <c r="M116" s="135" t="s">
        <v>203</v>
      </c>
      <c r="N116" s="145">
        <v>54</v>
      </c>
      <c r="O116">
        <f t="shared" si="10"/>
        <v>0</v>
      </c>
    </row>
    <row r="117" spans="1:15" ht="15.75">
      <c r="A117" s="52" t="s">
        <v>154</v>
      </c>
      <c r="B117" s="20" t="s">
        <v>13</v>
      </c>
      <c r="C117" s="10">
        <v>20</v>
      </c>
      <c r="D117" s="10"/>
      <c r="E117" s="25"/>
      <c r="F117" s="25">
        <f t="shared" si="14"/>
        <v>0</v>
      </c>
      <c r="G117" s="21">
        <v>17.63</v>
      </c>
      <c r="H117" s="21">
        <f>+G117*18%</f>
        <v>3.1733999999999996</v>
      </c>
      <c r="I117" s="21">
        <f>H117+G117</f>
        <v>20.8034</v>
      </c>
      <c r="J117" s="133">
        <v>20</v>
      </c>
      <c r="K117" s="120" t="s">
        <v>154</v>
      </c>
      <c r="L117" s="9" t="s">
        <v>13</v>
      </c>
      <c r="M117" s="9" t="s">
        <v>203</v>
      </c>
      <c r="N117" s="145">
        <v>20</v>
      </c>
      <c r="O117">
        <f t="shared" si="10"/>
        <v>0</v>
      </c>
    </row>
    <row r="118" spans="1:15" ht="15.75">
      <c r="A118" s="120" t="s">
        <v>184</v>
      </c>
      <c r="B118" s="9" t="s">
        <v>13</v>
      </c>
      <c r="C118" s="10"/>
      <c r="D118" s="10">
        <v>3</v>
      </c>
      <c r="E118" s="25">
        <f>6195/D118</f>
        <v>2065</v>
      </c>
      <c r="F118" s="25">
        <f t="shared" si="14"/>
        <v>6195</v>
      </c>
      <c r="G118" s="21"/>
      <c r="H118" s="21"/>
      <c r="I118" s="21"/>
      <c r="J118" s="133">
        <v>3</v>
      </c>
      <c r="K118" s="120" t="s">
        <v>184</v>
      </c>
      <c r="L118" s="9" t="s">
        <v>13</v>
      </c>
      <c r="M118" s="9" t="s">
        <v>203</v>
      </c>
      <c r="N118" s="145">
        <v>3</v>
      </c>
      <c r="O118">
        <f t="shared" si="10"/>
        <v>0</v>
      </c>
    </row>
    <row r="119" spans="1:15" ht="15.75">
      <c r="A119" s="52" t="s">
        <v>105</v>
      </c>
      <c r="B119" s="9" t="s">
        <v>13</v>
      </c>
      <c r="C119" s="10">
        <v>24</v>
      </c>
      <c r="D119" s="10">
        <v>20</v>
      </c>
      <c r="E119" s="25">
        <f>1534/D119</f>
        <v>76.7</v>
      </c>
      <c r="F119" s="25">
        <f t="shared" si="14"/>
        <v>1534</v>
      </c>
      <c r="G119" s="21">
        <v>34.020000000000003</v>
      </c>
      <c r="H119" s="21">
        <f t="shared" ref="H119:H130" si="15">+G119*18%</f>
        <v>6.1236000000000006</v>
      </c>
      <c r="I119" s="21">
        <f t="shared" ref="I119:I130" si="16">H119+G119</f>
        <v>40.143600000000006</v>
      </c>
      <c r="J119" s="133">
        <v>30</v>
      </c>
      <c r="K119" s="137" t="s">
        <v>105</v>
      </c>
      <c r="L119" s="135" t="s">
        <v>13</v>
      </c>
      <c r="M119" s="135" t="s">
        <v>203</v>
      </c>
      <c r="N119" s="145">
        <v>30</v>
      </c>
      <c r="O119">
        <f t="shared" si="10"/>
        <v>0</v>
      </c>
    </row>
    <row r="120" spans="1:15" ht="15.75">
      <c r="A120" s="24" t="s">
        <v>107</v>
      </c>
      <c r="B120" s="9" t="s">
        <v>31</v>
      </c>
      <c r="C120" s="10">
        <v>8</v>
      </c>
      <c r="D120" s="10">
        <v>24</v>
      </c>
      <c r="E120" s="25">
        <f>424.8/D120</f>
        <v>17.7</v>
      </c>
      <c r="F120" s="25">
        <f t="shared" si="14"/>
        <v>424.79999999999995</v>
      </c>
      <c r="G120" s="21">
        <v>156</v>
      </c>
      <c r="H120" s="21">
        <f t="shared" si="15"/>
        <v>28.08</v>
      </c>
      <c r="I120" s="21">
        <f t="shared" si="16"/>
        <v>184.07999999999998</v>
      </c>
      <c r="J120" s="133">
        <v>108</v>
      </c>
      <c r="K120" s="137" t="s">
        <v>223</v>
      </c>
      <c r="L120" s="135" t="s">
        <v>13</v>
      </c>
      <c r="M120" s="135" t="s">
        <v>203</v>
      </c>
      <c r="N120" s="145">
        <v>108</v>
      </c>
      <c r="O120">
        <f t="shared" si="10"/>
        <v>0</v>
      </c>
    </row>
    <row r="121" spans="1:15" ht="15.75">
      <c r="A121" s="24" t="s">
        <v>106</v>
      </c>
      <c r="B121" s="9" t="s">
        <v>13</v>
      </c>
      <c r="C121" s="10">
        <v>60</v>
      </c>
      <c r="D121" s="10"/>
      <c r="E121" s="25"/>
      <c r="F121" s="25">
        <f t="shared" si="14"/>
        <v>0</v>
      </c>
      <c r="G121" s="21">
        <v>7</v>
      </c>
      <c r="H121" s="21">
        <f t="shared" si="15"/>
        <v>1.26</v>
      </c>
      <c r="I121" s="21">
        <f t="shared" si="16"/>
        <v>8.26</v>
      </c>
      <c r="J121" s="133">
        <v>61</v>
      </c>
      <c r="K121" s="120" t="s">
        <v>106</v>
      </c>
      <c r="L121" s="9" t="s">
        <v>13</v>
      </c>
      <c r="M121" s="9" t="s">
        <v>203</v>
      </c>
      <c r="N121" s="145">
        <v>61</v>
      </c>
      <c r="O121">
        <f t="shared" si="10"/>
        <v>0</v>
      </c>
    </row>
    <row r="122" spans="1:15" ht="15.75">
      <c r="A122" s="24" t="s">
        <v>108</v>
      </c>
      <c r="B122" s="9" t="s">
        <v>13</v>
      </c>
      <c r="C122" s="10">
        <v>107</v>
      </c>
      <c r="D122" s="10"/>
      <c r="E122" s="25"/>
      <c r="F122" s="25">
        <f t="shared" si="14"/>
        <v>0</v>
      </c>
      <c r="G122" s="21">
        <v>68.180000000000007</v>
      </c>
      <c r="H122" s="21">
        <f t="shared" si="15"/>
        <v>12.272400000000001</v>
      </c>
      <c r="I122" s="21">
        <f t="shared" si="16"/>
        <v>80.452400000000011</v>
      </c>
      <c r="J122" s="133">
        <v>201</v>
      </c>
      <c r="K122" s="120" t="s">
        <v>224</v>
      </c>
      <c r="L122" s="9" t="s">
        <v>13</v>
      </c>
      <c r="M122" s="9" t="s">
        <v>203</v>
      </c>
      <c r="N122" s="145">
        <v>201</v>
      </c>
      <c r="O122">
        <f t="shared" si="10"/>
        <v>0</v>
      </c>
    </row>
    <row r="123" spans="1:15" ht="15.75">
      <c r="A123" s="24" t="s">
        <v>109</v>
      </c>
      <c r="B123" s="9" t="s">
        <v>29</v>
      </c>
      <c r="C123" s="10">
        <v>3</v>
      </c>
      <c r="D123" s="10"/>
      <c r="E123" s="25"/>
      <c r="F123" s="25">
        <f t="shared" si="14"/>
        <v>0</v>
      </c>
      <c r="G123" s="21">
        <v>54.75</v>
      </c>
      <c r="H123" s="21">
        <f t="shared" si="15"/>
        <v>9.8550000000000004</v>
      </c>
      <c r="I123" s="21">
        <f t="shared" si="16"/>
        <v>64.605000000000004</v>
      </c>
      <c r="J123" s="102"/>
      <c r="K123" s="120"/>
      <c r="L123" s="9"/>
      <c r="M123" s="9"/>
      <c r="N123" s="145"/>
      <c r="O123">
        <f t="shared" si="10"/>
        <v>0</v>
      </c>
    </row>
    <row r="124" spans="1:15" ht="15.75">
      <c r="A124" s="24" t="s">
        <v>111</v>
      </c>
      <c r="B124" s="9" t="s">
        <v>29</v>
      </c>
      <c r="C124" s="30">
        <v>20</v>
      </c>
      <c r="D124" s="30"/>
      <c r="E124" s="116"/>
      <c r="F124" s="25">
        <f t="shared" si="14"/>
        <v>0</v>
      </c>
      <c r="G124" s="11">
        <v>1150</v>
      </c>
      <c r="H124" s="11">
        <f t="shared" si="15"/>
        <v>207</v>
      </c>
      <c r="I124" s="11">
        <f t="shared" si="16"/>
        <v>1357</v>
      </c>
      <c r="J124" s="133">
        <v>227</v>
      </c>
      <c r="K124" s="120" t="s">
        <v>111</v>
      </c>
      <c r="L124" s="9" t="s">
        <v>13</v>
      </c>
      <c r="M124" s="9" t="s">
        <v>202</v>
      </c>
      <c r="N124" s="145">
        <v>227</v>
      </c>
      <c r="O124">
        <f t="shared" si="10"/>
        <v>0</v>
      </c>
    </row>
    <row r="125" spans="1:15" ht="15.75">
      <c r="A125" s="24" t="s">
        <v>113</v>
      </c>
      <c r="B125" s="9" t="s">
        <v>29</v>
      </c>
      <c r="C125" s="30">
        <v>4</v>
      </c>
      <c r="D125" s="30"/>
      <c r="E125" s="116"/>
      <c r="F125" s="25">
        <f t="shared" si="14"/>
        <v>0</v>
      </c>
      <c r="G125" s="11">
        <v>125</v>
      </c>
      <c r="H125" s="11">
        <f t="shared" si="15"/>
        <v>22.5</v>
      </c>
      <c r="I125" s="11">
        <f t="shared" si="16"/>
        <v>147.5</v>
      </c>
      <c r="J125" s="133">
        <v>100</v>
      </c>
      <c r="K125" s="120" t="s">
        <v>113</v>
      </c>
      <c r="L125" s="9" t="s">
        <v>29</v>
      </c>
      <c r="M125" s="9" t="s">
        <v>202</v>
      </c>
      <c r="N125" s="145">
        <v>100</v>
      </c>
      <c r="O125">
        <f t="shared" si="10"/>
        <v>0</v>
      </c>
    </row>
    <row r="126" spans="1:15" ht="15.75">
      <c r="A126" s="24" t="s">
        <v>115</v>
      </c>
      <c r="B126" s="9" t="s">
        <v>13</v>
      </c>
      <c r="C126" s="69">
        <v>1916</v>
      </c>
      <c r="D126" s="69"/>
      <c r="E126" s="25"/>
      <c r="F126" s="25">
        <f t="shared" si="14"/>
        <v>0</v>
      </c>
      <c r="G126" s="21">
        <v>1.75</v>
      </c>
      <c r="H126" s="21">
        <f t="shared" si="15"/>
        <v>0.315</v>
      </c>
      <c r="I126" s="21">
        <f t="shared" si="16"/>
        <v>2.0649999999999999</v>
      </c>
      <c r="J126" s="133">
        <v>1916</v>
      </c>
      <c r="K126" s="120" t="s">
        <v>115</v>
      </c>
      <c r="L126" s="9" t="s">
        <v>13</v>
      </c>
      <c r="M126" s="9" t="s">
        <v>203</v>
      </c>
      <c r="N126" s="149">
        <v>1916</v>
      </c>
      <c r="O126">
        <f t="shared" si="10"/>
        <v>0</v>
      </c>
    </row>
    <row r="127" spans="1:15" ht="15.75">
      <c r="A127" s="24" t="s">
        <v>114</v>
      </c>
      <c r="B127" s="9" t="s">
        <v>13</v>
      </c>
      <c r="C127" s="10">
        <v>300</v>
      </c>
      <c r="D127" s="10"/>
      <c r="E127" s="25"/>
      <c r="F127" s="25">
        <f t="shared" si="14"/>
        <v>0</v>
      </c>
      <c r="G127" s="21">
        <v>1.7</v>
      </c>
      <c r="H127" s="21">
        <f t="shared" si="15"/>
        <v>0.30599999999999999</v>
      </c>
      <c r="I127" s="21">
        <f t="shared" si="16"/>
        <v>2.0059999999999998</v>
      </c>
      <c r="J127" s="102"/>
      <c r="K127" s="120"/>
      <c r="L127" s="9"/>
      <c r="M127" s="9"/>
      <c r="N127" s="149"/>
      <c r="O127">
        <f t="shared" si="10"/>
        <v>0</v>
      </c>
    </row>
    <row r="128" spans="1:15" ht="15.75">
      <c r="A128" s="24" t="s">
        <v>117</v>
      </c>
      <c r="B128" s="9" t="s">
        <v>13</v>
      </c>
      <c r="C128" s="10">
        <v>750</v>
      </c>
      <c r="D128" s="10"/>
      <c r="E128" s="25"/>
      <c r="F128" s="25">
        <f t="shared" si="14"/>
        <v>0</v>
      </c>
      <c r="G128" s="21">
        <v>6.3</v>
      </c>
      <c r="H128" s="21">
        <f t="shared" si="15"/>
        <v>1.1339999999999999</v>
      </c>
      <c r="I128" s="21">
        <f t="shared" si="16"/>
        <v>7.4339999999999993</v>
      </c>
      <c r="J128" s="133">
        <v>965</v>
      </c>
      <c r="K128" s="120" t="s">
        <v>117</v>
      </c>
      <c r="L128" s="9" t="s">
        <v>13</v>
      </c>
      <c r="M128" s="9" t="s">
        <v>203</v>
      </c>
      <c r="N128" s="145">
        <v>965</v>
      </c>
      <c r="O128">
        <f t="shared" si="10"/>
        <v>0</v>
      </c>
    </row>
    <row r="129" spans="1:15" ht="15.75">
      <c r="A129" s="24" t="s">
        <v>118</v>
      </c>
      <c r="B129" s="9" t="s">
        <v>13</v>
      </c>
      <c r="C129" s="10">
        <v>456</v>
      </c>
      <c r="D129" s="10"/>
      <c r="E129" s="25"/>
      <c r="F129" s="25">
        <f t="shared" si="14"/>
        <v>0</v>
      </c>
      <c r="G129" s="21">
        <v>6.52</v>
      </c>
      <c r="H129" s="21">
        <f t="shared" si="15"/>
        <v>1.1736</v>
      </c>
      <c r="I129" s="21">
        <f t="shared" si="16"/>
        <v>7.6936</v>
      </c>
      <c r="J129" s="133">
        <v>750</v>
      </c>
      <c r="K129" s="120" t="s">
        <v>118</v>
      </c>
      <c r="L129" s="9" t="s">
        <v>13</v>
      </c>
      <c r="M129" s="9" t="s">
        <v>203</v>
      </c>
      <c r="N129" s="145">
        <v>750</v>
      </c>
      <c r="O129">
        <f t="shared" si="10"/>
        <v>0</v>
      </c>
    </row>
    <row r="130" spans="1:15" ht="15.75">
      <c r="A130" s="24" t="s">
        <v>119</v>
      </c>
      <c r="B130" s="9" t="s">
        <v>13</v>
      </c>
      <c r="C130" s="10">
        <v>350</v>
      </c>
      <c r="D130" s="10"/>
      <c r="E130" s="25"/>
      <c r="F130" s="25">
        <f t="shared" si="14"/>
        <v>0</v>
      </c>
      <c r="G130" s="21">
        <v>4.5999999999999996</v>
      </c>
      <c r="H130" s="21">
        <f t="shared" si="15"/>
        <v>0.82799999999999996</v>
      </c>
      <c r="I130" s="21">
        <f t="shared" si="16"/>
        <v>5.4279999999999999</v>
      </c>
      <c r="J130" s="133">
        <v>1175</v>
      </c>
      <c r="K130" s="120" t="s">
        <v>119</v>
      </c>
      <c r="L130" s="9" t="s">
        <v>13</v>
      </c>
      <c r="M130" s="9" t="s">
        <v>203</v>
      </c>
      <c r="N130" s="145">
        <v>1175</v>
      </c>
      <c r="O130">
        <f t="shared" si="10"/>
        <v>0</v>
      </c>
    </row>
    <row r="131" spans="1:15" ht="15.75">
      <c r="A131" s="120" t="s">
        <v>175</v>
      </c>
      <c r="B131" s="9" t="s">
        <v>13</v>
      </c>
      <c r="C131" s="10"/>
      <c r="D131" s="10">
        <v>1000</v>
      </c>
      <c r="E131" s="25">
        <f>7670/D131</f>
        <v>7.67</v>
      </c>
      <c r="F131" s="25">
        <f t="shared" si="14"/>
        <v>7670</v>
      </c>
      <c r="G131" s="21"/>
      <c r="H131" s="21"/>
      <c r="I131" s="21"/>
      <c r="J131" s="133">
        <v>893</v>
      </c>
      <c r="K131" s="120" t="s">
        <v>175</v>
      </c>
      <c r="L131" s="9" t="s">
        <v>13</v>
      </c>
      <c r="M131" s="9" t="s">
        <v>203</v>
      </c>
      <c r="N131" s="149">
        <v>893</v>
      </c>
      <c r="O131">
        <f t="shared" si="10"/>
        <v>0</v>
      </c>
    </row>
    <row r="132" spans="1:15" ht="15.75">
      <c r="A132" s="120" t="s">
        <v>174</v>
      </c>
      <c r="B132" s="9" t="s">
        <v>13</v>
      </c>
      <c r="C132" s="10"/>
      <c r="D132" s="10">
        <v>1000</v>
      </c>
      <c r="E132" s="25">
        <f>8850/D132</f>
        <v>8.85</v>
      </c>
      <c r="F132" s="25">
        <f t="shared" si="14"/>
        <v>8850</v>
      </c>
      <c r="G132" s="21"/>
      <c r="H132" s="21"/>
      <c r="I132" s="21"/>
      <c r="J132" s="133">
        <v>1000</v>
      </c>
      <c r="K132" s="120" t="s">
        <v>174</v>
      </c>
      <c r="L132" s="9" t="s">
        <v>13</v>
      </c>
      <c r="M132" s="9" t="s">
        <v>203</v>
      </c>
      <c r="N132" s="149">
        <v>1000</v>
      </c>
      <c r="O132">
        <f t="shared" si="10"/>
        <v>0</v>
      </c>
    </row>
    <row r="133" spans="1:15" ht="15.75">
      <c r="A133" s="56" t="s">
        <v>155</v>
      </c>
      <c r="B133" s="9" t="s">
        <v>13</v>
      </c>
      <c r="C133" s="10">
        <v>650</v>
      </c>
      <c r="D133" s="10"/>
      <c r="E133" s="25"/>
      <c r="F133" s="25">
        <f t="shared" si="14"/>
        <v>0</v>
      </c>
      <c r="G133" s="21">
        <v>1.75</v>
      </c>
      <c r="H133" s="21">
        <f t="shared" ref="H133:H139" si="17">+G133*18%</f>
        <v>0.315</v>
      </c>
      <c r="I133" s="21">
        <f t="shared" ref="I133:I139" si="18">H133+G133</f>
        <v>2.0649999999999999</v>
      </c>
      <c r="J133" s="133">
        <v>600</v>
      </c>
      <c r="K133" s="146" t="s">
        <v>155</v>
      </c>
      <c r="L133" s="9" t="s">
        <v>13</v>
      </c>
      <c r="M133" s="9" t="s">
        <v>203</v>
      </c>
      <c r="N133" s="145">
        <v>600</v>
      </c>
      <c r="O133">
        <f t="shared" si="10"/>
        <v>0</v>
      </c>
    </row>
    <row r="134" spans="1:15" ht="15.75">
      <c r="A134" s="24" t="s">
        <v>121</v>
      </c>
      <c r="B134" s="9" t="s">
        <v>13</v>
      </c>
      <c r="C134" s="10">
        <v>6</v>
      </c>
      <c r="D134" s="10"/>
      <c r="E134" s="25"/>
      <c r="F134" s="25">
        <f t="shared" si="14"/>
        <v>0</v>
      </c>
      <c r="G134" s="11">
        <v>130</v>
      </c>
      <c r="H134" s="11">
        <f t="shared" si="17"/>
        <v>23.4</v>
      </c>
      <c r="I134" s="11">
        <f t="shared" si="18"/>
        <v>153.4</v>
      </c>
      <c r="J134" s="133">
        <v>6</v>
      </c>
      <c r="K134" s="120" t="s">
        <v>121</v>
      </c>
      <c r="L134" s="9" t="s">
        <v>13</v>
      </c>
      <c r="M134" s="9" t="s">
        <v>202</v>
      </c>
      <c r="N134" s="145">
        <v>6</v>
      </c>
      <c r="O134">
        <f t="shared" si="10"/>
        <v>0</v>
      </c>
    </row>
    <row r="135" spans="1:15" ht="15.75">
      <c r="A135" s="24" t="s">
        <v>120</v>
      </c>
      <c r="B135" s="9" t="s">
        <v>13</v>
      </c>
      <c r="C135" s="30">
        <v>6</v>
      </c>
      <c r="D135" s="30"/>
      <c r="E135" s="116"/>
      <c r="F135" s="25">
        <f t="shared" si="14"/>
        <v>0</v>
      </c>
      <c r="G135" s="11">
        <v>750</v>
      </c>
      <c r="H135" s="11">
        <f t="shared" si="17"/>
        <v>135</v>
      </c>
      <c r="I135" s="11">
        <f t="shared" si="18"/>
        <v>885</v>
      </c>
      <c r="J135" s="133">
        <v>6</v>
      </c>
      <c r="K135" s="120" t="s">
        <v>120</v>
      </c>
      <c r="L135" s="9" t="s">
        <v>13</v>
      </c>
      <c r="M135" s="9" t="s">
        <v>202</v>
      </c>
      <c r="N135" s="145">
        <v>6</v>
      </c>
      <c r="O135">
        <f t="shared" si="10"/>
        <v>0</v>
      </c>
    </row>
    <row r="136" spans="1:15" ht="15.75">
      <c r="A136" s="24" t="s">
        <v>122</v>
      </c>
      <c r="B136" s="9" t="s">
        <v>13</v>
      </c>
      <c r="C136" s="10">
        <v>5</v>
      </c>
      <c r="D136" s="10"/>
      <c r="E136" s="25"/>
      <c r="F136" s="25">
        <f t="shared" si="14"/>
        <v>0</v>
      </c>
      <c r="G136" s="21">
        <v>90</v>
      </c>
      <c r="H136" s="25">
        <f t="shared" si="17"/>
        <v>16.2</v>
      </c>
      <c r="I136" s="21">
        <f t="shared" si="18"/>
        <v>106.2</v>
      </c>
      <c r="J136" s="133">
        <v>5</v>
      </c>
      <c r="K136" s="120" t="s">
        <v>122</v>
      </c>
      <c r="L136" s="9" t="s">
        <v>13</v>
      </c>
      <c r="M136" s="9" t="s">
        <v>203</v>
      </c>
      <c r="N136" s="145">
        <v>5</v>
      </c>
      <c r="O136">
        <f t="shared" ref="O136:O161" si="19">J136-N136</f>
        <v>0</v>
      </c>
    </row>
    <row r="137" spans="1:15" ht="15.75">
      <c r="A137" s="24" t="s">
        <v>123</v>
      </c>
      <c r="B137" s="9" t="s">
        <v>13</v>
      </c>
      <c r="C137" s="10">
        <v>12</v>
      </c>
      <c r="D137" s="10">
        <v>20</v>
      </c>
      <c r="E137" s="25">
        <f>8496/D137</f>
        <v>424.8</v>
      </c>
      <c r="F137" s="25">
        <f t="shared" si="14"/>
        <v>8496</v>
      </c>
      <c r="G137" s="21">
        <v>211.34</v>
      </c>
      <c r="H137" s="25">
        <f t="shared" si="17"/>
        <v>38.041199999999996</v>
      </c>
      <c r="I137" s="21">
        <f t="shared" si="18"/>
        <v>249.38120000000001</v>
      </c>
      <c r="J137" s="133">
        <v>31</v>
      </c>
      <c r="K137" s="137" t="s">
        <v>225</v>
      </c>
      <c r="L137" s="135" t="s">
        <v>13</v>
      </c>
      <c r="M137" s="135" t="s">
        <v>203</v>
      </c>
      <c r="N137" s="145">
        <v>31</v>
      </c>
      <c r="O137">
        <f t="shared" si="19"/>
        <v>0</v>
      </c>
    </row>
    <row r="138" spans="1:15" ht="15.75">
      <c r="A138" s="24" t="s">
        <v>124</v>
      </c>
      <c r="B138" s="9" t="s">
        <v>13</v>
      </c>
      <c r="C138" s="10">
        <v>55</v>
      </c>
      <c r="D138" s="10">
        <v>130</v>
      </c>
      <c r="E138" s="25">
        <f>13039/130</f>
        <v>100.3</v>
      </c>
      <c r="F138" s="25">
        <f t="shared" si="14"/>
        <v>13039</v>
      </c>
      <c r="G138" s="21">
        <v>95.49</v>
      </c>
      <c r="H138" s="21">
        <f t="shared" si="17"/>
        <v>17.188199999999998</v>
      </c>
      <c r="I138" s="21">
        <f t="shared" si="18"/>
        <v>112.67819999999999</v>
      </c>
      <c r="J138" s="133">
        <v>175</v>
      </c>
      <c r="K138" s="120" t="s">
        <v>226</v>
      </c>
      <c r="L138" s="9" t="s">
        <v>13</v>
      </c>
      <c r="M138" s="9" t="s">
        <v>203</v>
      </c>
      <c r="N138" s="145">
        <v>175</v>
      </c>
      <c r="O138">
        <f t="shared" si="19"/>
        <v>0</v>
      </c>
    </row>
    <row r="139" spans="1:15" ht="15.75">
      <c r="A139" s="24" t="s">
        <v>125</v>
      </c>
      <c r="B139" s="9" t="s">
        <v>13</v>
      </c>
      <c r="C139" s="10">
        <v>14</v>
      </c>
      <c r="D139" s="10"/>
      <c r="E139" s="25"/>
      <c r="F139" s="25">
        <f t="shared" si="14"/>
        <v>0</v>
      </c>
      <c r="G139" s="21">
        <v>281.38</v>
      </c>
      <c r="H139" s="21">
        <f t="shared" si="17"/>
        <v>50.648399999999995</v>
      </c>
      <c r="I139" s="21">
        <f t="shared" si="18"/>
        <v>332.02839999999998</v>
      </c>
      <c r="J139" s="133">
        <v>14</v>
      </c>
      <c r="K139" s="120" t="s">
        <v>125</v>
      </c>
      <c r="L139" s="9" t="s">
        <v>13</v>
      </c>
      <c r="M139" s="9" t="s">
        <v>203</v>
      </c>
      <c r="N139" s="145">
        <v>14</v>
      </c>
      <c r="O139">
        <f t="shared" si="19"/>
        <v>0</v>
      </c>
    </row>
    <row r="140" spans="1:15" ht="15.75">
      <c r="A140" s="120" t="s">
        <v>179</v>
      </c>
      <c r="B140" s="9" t="s">
        <v>13</v>
      </c>
      <c r="C140" s="10"/>
      <c r="D140" s="10">
        <v>20</v>
      </c>
      <c r="E140" s="25">
        <f>22184/D140</f>
        <v>1109.2</v>
      </c>
      <c r="F140" s="25">
        <f t="shared" si="14"/>
        <v>22184</v>
      </c>
      <c r="G140" s="21"/>
      <c r="H140" s="21"/>
      <c r="I140" s="21"/>
      <c r="J140" s="133">
        <v>20</v>
      </c>
      <c r="K140" s="120" t="s">
        <v>179</v>
      </c>
      <c r="L140" s="9" t="s">
        <v>13</v>
      </c>
      <c r="M140" s="9" t="s">
        <v>203</v>
      </c>
      <c r="N140" s="145">
        <v>20</v>
      </c>
      <c r="O140">
        <f t="shared" si="19"/>
        <v>0</v>
      </c>
    </row>
    <row r="141" spans="1:15" ht="15.75">
      <c r="A141" s="120" t="s">
        <v>180</v>
      </c>
      <c r="B141" s="121" t="s">
        <v>13</v>
      </c>
      <c r="C141" s="10"/>
      <c r="D141" s="10">
        <v>20</v>
      </c>
      <c r="E141" s="25">
        <f>10620/D141</f>
        <v>531</v>
      </c>
      <c r="F141" s="25">
        <f t="shared" si="14"/>
        <v>10620</v>
      </c>
      <c r="G141" s="21"/>
      <c r="H141" s="21"/>
      <c r="I141" s="21"/>
      <c r="J141" s="133">
        <v>15</v>
      </c>
      <c r="K141" s="120" t="s">
        <v>180</v>
      </c>
      <c r="L141" s="121" t="s">
        <v>13</v>
      </c>
      <c r="M141" s="121" t="s">
        <v>203</v>
      </c>
      <c r="N141" s="145">
        <v>15</v>
      </c>
      <c r="O141">
        <f t="shared" si="19"/>
        <v>0</v>
      </c>
    </row>
    <row r="142" spans="1:15" ht="15.75">
      <c r="A142" s="64" t="s">
        <v>130</v>
      </c>
      <c r="B142" s="33" t="s">
        <v>31</v>
      </c>
      <c r="C142" s="15">
        <v>8</v>
      </c>
      <c r="D142" s="15"/>
      <c r="E142" s="112"/>
      <c r="F142" s="25">
        <f t="shared" si="14"/>
        <v>0</v>
      </c>
      <c r="G142" s="16">
        <v>228</v>
      </c>
      <c r="H142" s="16">
        <f t="shared" ref="H142:H147" si="20">G142*18%</f>
        <v>41.04</v>
      </c>
      <c r="I142" s="16">
        <f t="shared" ref="I142:I159" si="21">H142+G142</f>
        <v>269.04000000000002</v>
      </c>
      <c r="J142" s="133">
        <v>8</v>
      </c>
      <c r="K142" s="142" t="s">
        <v>130</v>
      </c>
      <c r="L142" s="33" t="s">
        <v>31</v>
      </c>
      <c r="M142" s="33" t="s">
        <v>201</v>
      </c>
      <c r="N142" s="145">
        <v>8</v>
      </c>
      <c r="O142">
        <f t="shared" si="19"/>
        <v>0</v>
      </c>
    </row>
    <row r="143" spans="1:15" ht="15.75">
      <c r="A143" s="64" t="s">
        <v>131</v>
      </c>
      <c r="B143" s="33" t="s">
        <v>31</v>
      </c>
      <c r="C143" s="15">
        <v>2</v>
      </c>
      <c r="D143" s="15"/>
      <c r="E143" s="112"/>
      <c r="F143" s="25">
        <f t="shared" ref="F143:F159" si="22">D143*E143</f>
        <v>0</v>
      </c>
      <c r="G143" s="16">
        <v>228</v>
      </c>
      <c r="H143" s="16">
        <f t="shared" si="20"/>
        <v>41.04</v>
      </c>
      <c r="I143" s="16">
        <f t="shared" si="21"/>
        <v>269.04000000000002</v>
      </c>
      <c r="J143" s="133">
        <v>2</v>
      </c>
      <c r="K143" s="142" t="s">
        <v>131</v>
      </c>
      <c r="L143" s="33" t="s">
        <v>31</v>
      </c>
      <c r="M143" s="33" t="s">
        <v>201</v>
      </c>
      <c r="N143" s="145">
        <v>2</v>
      </c>
      <c r="O143">
        <f t="shared" si="19"/>
        <v>0</v>
      </c>
    </row>
    <row r="144" spans="1:15" ht="15.75">
      <c r="A144" s="64" t="s">
        <v>128</v>
      </c>
      <c r="B144" s="33" t="s">
        <v>31</v>
      </c>
      <c r="C144" s="15">
        <v>38</v>
      </c>
      <c r="D144" s="15"/>
      <c r="E144" s="112"/>
      <c r="F144" s="25">
        <f t="shared" si="22"/>
        <v>0</v>
      </c>
      <c r="G144" s="16">
        <v>228</v>
      </c>
      <c r="H144" s="16">
        <f t="shared" si="20"/>
        <v>41.04</v>
      </c>
      <c r="I144" s="16">
        <f t="shared" si="21"/>
        <v>269.04000000000002</v>
      </c>
      <c r="J144" s="133">
        <v>37</v>
      </c>
      <c r="K144" s="142" t="s">
        <v>128</v>
      </c>
      <c r="L144" s="33" t="s">
        <v>31</v>
      </c>
      <c r="M144" s="33" t="s">
        <v>201</v>
      </c>
      <c r="N144" s="145">
        <v>37</v>
      </c>
      <c r="O144">
        <f t="shared" si="19"/>
        <v>0</v>
      </c>
    </row>
    <row r="145" spans="1:15" ht="15.75">
      <c r="A145" s="64" t="s">
        <v>129</v>
      </c>
      <c r="B145" s="33" t="s">
        <v>31</v>
      </c>
      <c r="C145" s="15">
        <v>2</v>
      </c>
      <c r="D145" s="15"/>
      <c r="E145" s="112"/>
      <c r="F145" s="25">
        <f t="shared" si="22"/>
        <v>0</v>
      </c>
      <c r="G145" s="16">
        <v>228</v>
      </c>
      <c r="H145" s="16">
        <f t="shared" si="20"/>
        <v>41.04</v>
      </c>
      <c r="I145" s="16">
        <f t="shared" si="21"/>
        <v>269.04000000000002</v>
      </c>
      <c r="J145" s="133">
        <v>1</v>
      </c>
      <c r="K145" s="142" t="s">
        <v>129</v>
      </c>
      <c r="L145" s="33" t="s">
        <v>31</v>
      </c>
      <c r="M145" s="33" t="s">
        <v>201</v>
      </c>
      <c r="N145" s="145">
        <v>1</v>
      </c>
      <c r="O145">
        <f t="shared" si="19"/>
        <v>0</v>
      </c>
    </row>
    <row r="146" spans="1:15" ht="15.75">
      <c r="A146" s="64" t="s">
        <v>157</v>
      </c>
      <c r="B146" s="33" t="s">
        <v>31</v>
      </c>
      <c r="C146" s="15">
        <v>28</v>
      </c>
      <c r="D146" s="15"/>
      <c r="E146" s="112"/>
      <c r="F146" s="25">
        <f t="shared" si="22"/>
        <v>0</v>
      </c>
      <c r="G146" s="16">
        <v>228</v>
      </c>
      <c r="H146" s="16">
        <f t="shared" si="20"/>
        <v>41.04</v>
      </c>
      <c r="I146" s="16">
        <f t="shared" si="21"/>
        <v>269.04000000000002</v>
      </c>
      <c r="J146" s="133">
        <v>28</v>
      </c>
      <c r="K146" s="142" t="s">
        <v>157</v>
      </c>
      <c r="L146" s="33" t="s">
        <v>31</v>
      </c>
      <c r="M146" s="33" t="s">
        <v>201</v>
      </c>
      <c r="N146" s="145">
        <v>28</v>
      </c>
      <c r="O146">
        <f t="shared" si="19"/>
        <v>0</v>
      </c>
    </row>
    <row r="147" spans="1:15" ht="15.75">
      <c r="A147" s="64" t="s">
        <v>126</v>
      </c>
      <c r="B147" s="14" t="s">
        <v>13</v>
      </c>
      <c r="C147" s="15">
        <v>3</v>
      </c>
      <c r="D147" s="15"/>
      <c r="E147" s="112"/>
      <c r="F147" s="25">
        <f t="shared" si="22"/>
        <v>0</v>
      </c>
      <c r="G147" s="16">
        <v>520</v>
      </c>
      <c r="H147" s="16">
        <f t="shared" si="20"/>
        <v>93.6</v>
      </c>
      <c r="I147" s="16">
        <f t="shared" si="21"/>
        <v>613.6</v>
      </c>
      <c r="J147" s="133">
        <v>3</v>
      </c>
      <c r="K147" s="142" t="s">
        <v>126</v>
      </c>
      <c r="L147" s="14" t="s">
        <v>13</v>
      </c>
      <c r="M147" s="14" t="s">
        <v>201</v>
      </c>
      <c r="N147" s="145">
        <v>3</v>
      </c>
      <c r="O147">
        <f t="shared" si="19"/>
        <v>0</v>
      </c>
    </row>
    <row r="148" spans="1:15" ht="15.75">
      <c r="A148" s="64" t="s">
        <v>148</v>
      </c>
      <c r="B148" s="33" t="s">
        <v>31</v>
      </c>
      <c r="C148" s="15">
        <v>8</v>
      </c>
      <c r="D148" s="15"/>
      <c r="E148" s="112"/>
      <c r="F148" s="25">
        <f t="shared" si="22"/>
        <v>0</v>
      </c>
      <c r="G148" s="16">
        <v>228</v>
      </c>
      <c r="H148" s="16"/>
      <c r="I148" s="16">
        <f t="shared" si="21"/>
        <v>228</v>
      </c>
      <c r="J148" s="133">
        <v>7</v>
      </c>
      <c r="K148" s="142" t="s">
        <v>148</v>
      </c>
      <c r="L148" s="33" t="s">
        <v>31</v>
      </c>
      <c r="M148" s="33" t="s">
        <v>201</v>
      </c>
      <c r="N148" s="145">
        <v>7</v>
      </c>
      <c r="O148">
        <f t="shared" si="19"/>
        <v>0</v>
      </c>
    </row>
    <row r="149" spans="1:15" ht="15.75">
      <c r="A149" s="64" t="s">
        <v>132</v>
      </c>
      <c r="B149" s="33" t="s">
        <v>31</v>
      </c>
      <c r="C149" s="15">
        <v>9</v>
      </c>
      <c r="D149" s="15"/>
      <c r="E149" s="112"/>
      <c r="F149" s="25">
        <f t="shared" si="22"/>
        <v>0</v>
      </c>
      <c r="G149" s="16">
        <v>228</v>
      </c>
      <c r="H149" s="16">
        <f>G149*18%</f>
        <v>41.04</v>
      </c>
      <c r="I149" s="16">
        <f t="shared" si="21"/>
        <v>269.04000000000002</v>
      </c>
      <c r="J149" s="133">
        <v>7</v>
      </c>
      <c r="K149" s="142" t="s">
        <v>132</v>
      </c>
      <c r="L149" s="33" t="s">
        <v>31</v>
      </c>
      <c r="M149" s="33" t="s">
        <v>201</v>
      </c>
      <c r="N149" s="145">
        <v>7</v>
      </c>
      <c r="O149">
        <f t="shared" si="19"/>
        <v>0</v>
      </c>
    </row>
    <row r="150" spans="1:15" ht="15.75">
      <c r="A150" s="64" t="s">
        <v>147</v>
      </c>
      <c r="B150" s="33" t="s">
        <v>31</v>
      </c>
      <c r="C150" s="15">
        <v>11</v>
      </c>
      <c r="D150" s="15"/>
      <c r="E150" s="112"/>
      <c r="F150" s="25">
        <f t="shared" si="22"/>
        <v>0</v>
      </c>
      <c r="G150" s="16">
        <v>228</v>
      </c>
      <c r="H150" s="16"/>
      <c r="I150" s="16">
        <f t="shared" si="21"/>
        <v>228</v>
      </c>
      <c r="J150" s="133">
        <v>11</v>
      </c>
      <c r="K150" s="142" t="s">
        <v>147</v>
      </c>
      <c r="L150" s="33" t="s">
        <v>31</v>
      </c>
      <c r="M150" s="33" t="s">
        <v>201</v>
      </c>
      <c r="N150" s="145">
        <v>11</v>
      </c>
      <c r="O150">
        <f t="shared" si="19"/>
        <v>0</v>
      </c>
    </row>
    <row r="151" spans="1:15" ht="15.75">
      <c r="A151" s="24" t="s">
        <v>133</v>
      </c>
      <c r="B151" s="9" t="s">
        <v>13</v>
      </c>
      <c r="C151" s="10">
        <v>20</v>
      </c>
      <c r="D151" s="10">
        <v>20</v>
      </c>
      <c r="E151" s="25">
        <f>2006/D151</f>
        <v>100.3</v>
      </c>
      <c r="F151" s="25">
        <f t="shared" si="22"/>
        <v>2006</v>
      </c>
      <c r="G151" s="21">
        <v>72.25</v>
      </c>
      <c r="H151" s="21">
        <f>+G151*18%</f>
        <v>13.004999999999999</v>
      </c>
      <c r="I151" s="21">
        <f t="shared" si="21"/>
        <v>85.254999999999995</v>
      </c>
      <c r="J151" s="133">
        <v>36</v>
      </c>
      <c r="K151" s="120" t="s">
        <v>133</v>
      </c>
      <c r="L151" s="9" t="s">
        <v>13</v>
      </c>
      <c r="M151" s="9" t="s">
        <v>203</v>
      </c>
      <c r="N151" s="136">
        <v>36</v>
      </c>
      <c r="O151">
        <f t="shared" si="19"/>
        <v>0</v>
      </c>
    </row>
    <row r="152" spans="1:15" ht="15.75">
      <c r="A152" s="24" t="s">
        <v>135</v>
      </c>
      <c r="B152" s="9" t="s">
        <v>13</v>
      </c>
      <c r="C152" s="10">
        <v>22</v>
      </c>
      <c r="D152" s="10">
        <v>8</v>
      </c>
      <c r="E152" s="25">
        <f>736.32/D152</f>
        <v>92.04</v>
      </c>
      <c r="F152" s="25">
        <f t="shared" si="22"/>
        <v>736.32</v>
      </c>
      <c r="G152" s="21">
        <v>61.7</v>
      </c>
      <c r="H152" s="21">
        <f>+G152*18%</f>
        <v>11.106</v>
      </c>
      <c r="I152" s="21">
        <f t="shared" si="21"/>
        <v>72.805999999999997</v>
      </c>
      <c r="J152" s="133">
        <v>36</v>
      </c>
      <c r="K152" s="120" t="s">
        <v>135</v>
      </c>
      <c r="L152" s="9" t="s">
        <v>13</v>
      </c>
      <c r="M152" s="9" t="s">
        <v>203</v>
      </c>
      <c r="N152" s="145">
        <v>36</v>
      </c>
      <c r="O152">
        <f t="shared" si="19"/>
        <v>0</v>
      </c>
    </row>
    <row r="153" spans="1:15" ht="15.75">
      <c r="A153" s="24" t="s">
        <v>134</v>
      </c>
      <c r="B153" s="9" t="s">
        <v>13</v>
      </c>
      <c r="C153" s="10">
        <v>3</v>
      </c>
      <c r="D153" s="10"/>
      <c r="E153" s="25"/>
      <c r="F153" s="25">
        <f t="shared" si="22"/>
        <v>0</v>
      </c>
      <c r="G153" s="21">
        <v>61.7</v>
      </c>
      <c r="H153" s="21">
        <f>+G153*18%</f>
        <v>11.106</v>
      </c>
      <c r="I153" s="21">
        <f t="shared" si="21"/>
        <v>72.805999999999997</v>
      </c>
      <c r="J153" s="133">
        <v>3</v>
      </c>
      <c r="K153" s="154" t="s">
        <v>134</v>
      </c>
      <c r="L153" s="38" t="s">
        <v>13</v>
      </c>
      <c r="M153" s="38" t="s">
        <v>203</v>
      </c>
      <c r="N153" s="152">
        <v>3</v>
      </c>
      <c r="O153">
        <f t="shared" si="19"/>
        <v>0</v>
      </c>
    </row>
    <row r="154" spans="1:15" ht="15.75">
      <c r="A154" s="24" t="s">
        <v>138</v>
      </c>
      <c r="B154" s="9" t="s">
        <v>13</v>
      </c>
      <c r="C154" s="10">
        <v>35</v>
      </c>
      <c r="D154" s="10">
        <v>75</v>
      </c>
      <c r="E154" s="25">
        <f>8407.5/75</f>
        <v>112.1</v>
      </c>
      <c r="F154" s="25">
        <f t="shared" si="22"/>
        <v>8407.5</v>
      </c>
      <c r="G154" s="21">
        <v>120</v>
      </c>
      <c r="H154" s="21">
        <f>+G154*18%</f>
        <v>21.599999999999998</v>
      </c>
      <c r="I154" s="21">
        <f t="shared" si="21"/>
        <v>141.6</v>
      </c>
      <c r="J154" s="133">
        <v>107</v>
      </c>
      <c r="K154" s="150" t="s">
        <v>138</v>
      </c>
      <c r="L154" s="151" t="s">
        <v>13</v>
      </c>
      <c r="M154" s="151" t="s">
        <v>203</v>
      </c>
      <c r="N154" s="152">
        <v>107</v>
      </c>
      <c r="O154">
        <f t="shared" si="19"/>
        <v>0</v>
      </c>
    </row>
    <row r="155" spans="1:15" ht="15.75">
      <c r="A155" s="64" t="s">
        <v>136</v>
      </c>
      <c r="B155" s="33" t="s">
        <v>31</v>
      </c>
      <c r="C155" s="15">
        <v>5</v>
      </c>
      <c r="D155" s="15"/>
      <c r="E155" s="112"/>
      <c r="F155" s="25">
        <f t="shared" si="22"/>
        <v>0</v>
      </c>
      <c r="G155" s="16">
        <v>3100</v>
      </c>
      <c r="H155" s="16">
        <f>G155*18%</f>
        <v>558</v>
      </c>
      <c r="I155" s="16">
        <f t="shared" si="21"/>
        <v>3658</v>
      </c>
      <c r="J155" s="133">
        <v>200</v>
      </c>
      <c r="K155" s="142" t="s">
        <v>136</v>
      </c>
      <c r="L155" s="33" t="s">
        <v>29</v>
      </c>
      <c r="M155" s="33" t="s">
        <v>202</v>
      </c>
      <c r="N155" s="145">
        <v>200</v>
      </c>
      <c r="O155">
        <f t="shared" si="19"/>
        <v>0</v>
      </c>
    </row>
    <row r="156" spans="1:15" ht="15.75">
      <c r="A156" s="64" t="s">
        <v>137</v>
      </c>
      <c r="B156" s="33" t="s">
        <v>31</v>
      </c>
      <c r="C156" s="15">
        <v>4</v>
      </c>
      <c r="D156" s="15"/>
      <c r="E156" s="112"/>
      <c r="F156" s="25">
        <f t="shared" si="22"/>
        <v>0</v>
      </c>
      <c r="G156" s="16">
        <v>3100</v>
      </c>
      <c r="H156" s="16">
        <f>G156*18%</f>
        <v>558</v>
      </c>
      <c r="I156" s="16">
        <f t="shared" si="21"/>
        <v>3658</v>
      </c>
      <c r="J156" s="133">
        <v>290</v>
      </c>
      <c r="K156" s="142" t="s">
        <v>137</v>
      </c>
      <c r="L156" s="33" t="s">
        <v>29</v>
      </c>
      <c r="M156" s="33" t="s">
        <v>202</v>
      </c>
      <c r="N156" s="145">
        <v>290</v>
      </c>
      <c r="O156">
        <f t="shared" si="19"/>
        <v>0</v>
      </c>
    </row>
    <row r="157" spans="1:15" ht="16.5" thickBot="1">
      <c r="A157" s="24" t="s">
        <v>139</v>
      </c>
      <c r="B157" s="9" t="s">
        <v>13</v>
      </c>
      <c r="C157" s="10">
        <v>18</v>
      </c>
      <c r="D157" s="10"/>
      <c r="E157" s="25"/>
      <c r="F157" s="25">
        <f t="shared" si="22"/>
        <v>0</v>
      </c>
      <c r="G157" s="11">
        <v>275</v>
      </c>
      <c r="H157" s="11">
        <f>+G157*18%</f>
        <v>49.5</v>
      </c>
      <c r="I157" s="11">
        <f t="shared" si="21"/>
        <v>324.5</v>
      </c>
      <c r="J157" s="161">
        <v>15</v>
      </c>
      <c r="K157" s="154" t="s">
        <v>139</v>
      </c>
      <c r="L157" s="38" t="s">
        <v>13</v>
      </c>
      <c r="M157" s="38" t="s">
        <v>202</v>
      </c>
      <c r="N157" s="152">
        <v>15</v>
      </c>
      <c r="O157">
        <f t="shared" si="19"/>
        <v>0</v>
      </c>
    </row>
    <row r="158" spans="1:15" ht="16.5" thickBot="1">
      <c r="A158" s="24" t="s">
        <v>164</v>
      </c>
      <c r="B158" s="9" t="s">
        <v>163</v>
      </c>
      <c r="C158" s="10">
        <v>4</v>
      </c>
      <c r="D158" s="39"/>
      <c r="E158" s="114"/>
      <c r="F158" s="25">
        <f t="shared" si="22"/>
        <v>0</v>
      </c>
      <c r="G158" s="44">
        <v>1760</v>
      </c>
      <c r="H158" s="11">
        <f>+G158*18%</f>
        <v>316.8</v>
      </c>
      <c r="I158" s="11">
        <f t="shared" si="21"/>
        <v>2076.8000000000002</v>
      </c>
      <c r="J158" s="133">
        <v>3</v>
      </c>
      <c r="K158" s="158" t="s">
        <v>164</v>
      </c>
      <c r="L158" s="86" t="s">
        <v>13</v>
      </c>
      <c r="M158" s="86" t="s">
        <v>202</v>
      </c>
      <c r="N158" s="160">
        <v>3</v>
      </c>
      <c r="O158">
        <f t="shared" si="19"/>
        <v>0</v>
      </c>
    </row>
    <row r="159" spans="1:15" ht="15.75">
      <c r="A159" s="24" t="s">
        <v>140</v>
      </c>
      <c r="B159" s="92" t="s">
        <v>13</v>
      </c>
      <c r="C159" s="93">
        <v>2</v>
      </c>
      <c r="D159" s="93"/>
      <c r="E159" s="117"/>
      <c r="F159" s="25">
        <f t="shared" si="22"/>
        <v>0</v>
      </c>
      <c r="G159" s="94">
        <v>250</v>
      </c>
      <c r="H159" s="94">
        <f>+G159*18%</f>
        <v>45</v>
      </c>
      <c r="I159" s="94">
        <f t="shared" si="21"/>
        <v>295</v>
      </c>
      <c r="J159" s="133">
        <v>2</v>
      </c>
      <c r="K159" s="157" t="s">
        <v>140</v>
      </c>
      <c r="L159" s="125" t="s">
        <v>13</v>
      </c>
      <c r="M159" s="125" t="s">
        <v>202</v>
      </c>
      <c r="N159" s="159">
        <v>2</v>
      </c>
      <c r="O159">
        <f t="shared" si="19"/>
        <v>0</v>
      </c>
    </row>
    <row r="160" spans="1:15">
      <c r="D160" s="118"/>
      <c r="F160" s="118">
        <f>SUM(F7:F159)</f>
        <v>425582.04</v>
      </c>
      <c r="J160" s="54">
        <f>SUM(J7:J159)</f>
        <v>17227</v>
      </c>
      <c r="K160" s="57"/>
      <c r="L160" s="57"/>
      <c r="M160" s="57"/>
      <c r="N160" s="57"/>
      <c r="O160">
        <f t="shared" si="19"/>
        <v>17227</v>
      </c>
    </row>
    <row r="161" spans="4:15">
      <c r="F161" s="118">
        <v>20001</v>
      </c>
      <c r="K161" s="57"/>
      <c r="L161" s="57"/>
      <c r="M161" s="57"/>
      <c r="N161" s="155"/>
      <c r="O161">
        <f t="shared" si="19"/>
        <v>0</v>
      </c>
    </row>
    <row r="162" spans="4:15">
      <c r="D162" s="140"/>
      <c r="F162" s="118">
        <f>SUM(F160:F161)</f>
        <v>445583.04</v>
      </c>
      <c r="K162" s="57"/>
      <c r="L162" s="57"/>
      <c r="M162" s="57"/>
      <c r="N162" s="156"/>
      <c r="O162">
        <f>J161-N162</f>
        <v>0</v>
      </c>
    </row>
    <row r="163" spans="4:15">
      <c r="F163" s="118">
        <f>F162-445583.04</f>
        <v>0</v>
      </c>
      <c r="O163">
        <f>J162-N163</f>
        <v>0</v>
      </c>
    </row>
  </sheetData>
  <autoFilter ref="A6:J6" xr:uid="{D6B6C1F9-8792-4573-81BB-617B9A8FC456}"/>
  <sortState xmlns:xlrd2="http://schemas.microsoft.com/office/spreadsheetml/2017/richdata2" ref="K7:N166">
    <sortCondition ref="K7:K166"/>
  </sortState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51D8-3F27-4162-AC60-AD89B2639AB4}">
  <dimension ref="B2:K81"/>
  <sheetViews>
    <sheetView topLeftCell="A16" workbookViewId="0">
      <selection activeCell="L30" sqref="L30"/>
    </sheetView>
  </sheetViews>
  <sheetFormatPr baseColWidth="10" defaultRowHeight="18"/>
  <cols>
    <col min="1" max="1" width="11.42578125" style="13"/>
    <col min="2" max="2" width="44.28515625" style="13" customWidth="1"/>
    <col min="3" max="3" width="12.7109375" style="13" customWidth="1"/>
    <col min="4" max="5" width="12.7109375" style="54" customWidth="1"/>
    <col min="6" max="6" width="10.85546875" style="54" customWidth="1"/>
    <col min="7" max="7" width="12.7109375" style="54" customWidth="1"/>
    <col min="8" max="8" width="13.85546875" style="54" customWidth="1"/>
    <col min="9" max="9" width="38.140625" style="55" hidden="1" customWidth="1"/>
    <col min="10" max="10" width="15" style="13" bestFit="1" customWidth="1"/>
    <col min="11" max="11" width="12.7109375" style="13" bestFit="1" customWidth="1"/>
    <col min="12" max="16384" width="11.42578125" style="13"/>
  </cols>
  <sheetData>
    <row r="2" spans="2:9" ht="18.75" customHeight="1"/>
    <row r="3" spans="2:9" ht="15.75">
      <c r="B3" s="275" t="s">
        <v>143</v>
      </c>
      <c r="C3" s="275"/>
      <c r="D3" s="275"/>
      <c r="E3" s="275"/>
      <c r="F3" s="275"/>
      <c r="G3" s="275"/>
      <c r="H3" s="275"/>
      <c r="I3" s="275"/>
    </row>
    <row r="4" spans="2:9" ht="16.5" thickBot="1">
      <c r="B4" s="276" t="s">
        <v>152</v>
      </c>
      <c r="C4" s="276"/>
      <c r="D4" s="276"/>
      <c r="E4" s="276"/>
      <c r="F4" s="276"/>
      <c r="G4" s="276"/>
      <c r="H4" s="276"/>
      <c r="I4" s="276"/>
    </row>
    <row r="5" spans="2:9" ht="16.5" thickBot="1">
      <c r="B5" s="277" t="s">
        <v>153</v>
      </c>
      <c r="C5" s="278"/>
      <c r="D5" s="279"/>
      <c r="E5" s="279"/>
      <c r="F5" s="278"/>
      <c r="G5" s="278"/>
      <c r="H5" s="279"/>
      <c r="I5" s="280"/>
    </row>
    <row r="6" spans="2:9" ht="30.75" customHeight="1" thickBot="1">
      <c r="B6" s="3" t="s">
        <v>0</v>
      </c>
      <c r="C6" s="4" t="s">
        <v>1</v>
      </c>
      <c r="D6" s="5" t="s">
        <v>2</v>
      </c>
      <c r="E6" s="5" t="s">
        <v>3</v>
      </c>
      <c r="F6" s="6" t="s">
        <v>4</v>
      </c>
      <c r="G6" s="7" t="s">
        <v>5</v>
      </c>
      <c r="H6" s="5" t="s">
        <v>6</v>
      </c>
      <c r="I6" s="8" t="s">
        <v>7</v>
      </c>
    </row>
    <row r="7" spans="2:9" ht="15">
      <c r="B7" s="52" t="s">
        <v>16</v>
      </c>
      <c r="C7" s="20" t="s">
        <v>13</v>
      </c>
      <c r="D7" s="10">
        <v>19</v>
      </c>
      <c r="E7" s="21">
        <v>1467.12</v>
      </c>
      <c r="F7" s="22">
        <f>+E7*18%</f>
        <v>264.08159999999998</v>
      </c>
      <c r="G7" s="22">
        <f t="shared" ref="G7:G63" si="0">F7+E7</f>
        <v>1731.2015999999999</v>
      </c>
      <c r="H7" s="22">
        <f t="shared" ref="H7:H63" si="1">G7*D7</f>
        <v>32892.830399999999</v>
      </c>
      <c r="I7" s="23"/>
    </row>
    <row r="8" spans="2:9" ht="15">
      <c r="B8" s="24" t="s">
        <v>17</v>
      </c>
      <c r="C8" s="20" t="s">
        <v>13</v>
      </c>
      <c r="D8" s="10">
        <v>7</v>
      </c>
      <c r="E8" s="21">
        <v>855</v>
      </c>
      <c r="F8" s="22">
        <f t="shared" ref="F8:F63" si="2">+E8*18%</f>
        <v>153.9</v>
      </c>
      <c r="G8" s="22">
        <f t="shared" si="0"/>
        <v>1008.9</v>
      </c>
      <c r="H8" s="22">
        <f t="shared" si="1"/>
        <v>7062.3</v>
      </c>
      <c r="I8" s="23"/>
    </row>
    <row r="9" spans="2:9" ht="15">
      <c r="B9" s="24" t="s">
        <v>21</v>
      </c>
      <c r="C9" s="9" t="s">
        <v>13</v>
      </c>
      <c r="D9" s="10">
        <v>2</v>
      </c>
      <c r="E9" s="21">
        <v>3250</v>
      </c>
      <c r="F9" s="22">
        <f t="shared" si="2"/>
        <v>585</v>
      </c>
      <c r="G9" s="22">
        <f t="shared" si="0"/>
        <v>3835</v>
      </c>
      <c r="H9" s="22">
        <f t="shared" si="1"/>
        <v>7670</v>
      </c>
      <c r="I9" s="23"/>
    </row>
    <row r="10" spans="2:9" ht="15">
      <c r="B10" s="24" t="s">
        <v>23</v>
      </c>
      <c r="C10" s="9" t="s">
        <v>13</v>
      </c>
      <c r="D10" s="10">
        <v>3</v>
      </c>
      <c r="E10" s="21">
        <v>2500</v>
      </c>
      <c r="F10" s="22">
        <f t="shared" si="2"/>
        <v>450</v>
      </c>
      <c r="G10" s="22">
        <f t="shared" si="0"/>
        <v>2950</v>
      </c>
      <c r="H10" s="22">
        <f t="shared" si="1"/>
        <v>8850</v>
      </c>
      <c r="I10" s="23"/>
    </row>
    <row r="11" spans="2:9" ht="15">
      <c r="B11" s="24" t="s">
        <v>24</v>
      </c>
      <c r="C11" s="9" t="s">
        <v>13</v>
      </c>
      <c r="D11" s="10">
        <v>16</v>
      </c>
      <c r="E11" s="25">
        <v>218</v>
      </c>
      <c r="F11" s="22">
        <f t="shared" si="2"/>
        <v>39.24</v>
      </c>
      <c r="G11" s="22">
        <f t="shared" si="0"/>
        <v>257.24</v>
      </c>
      <c r="H11" s="22">
        <f t="shared" si="1"/>
        <v>4115.84</v>
      </c>
      <c r="I11" s="23"/>
    </row>
    <row r="12" spans="2:9" ht="15">
      <c r="B12" s="24" t="s">
        <v>25</v>
      </c>
      <c r="C12" s="9" t="s">
        <v>13</v>
      </c>
      <c r="D12" s="10">
        <v>2</v>
      </c>
      <c r="E12" s="21">
        <v>205.67</v>
      </c>
      <c r="F12" s="22">
        <f t="shared" si="2"/>
        <v>37.020599999999995</v>
      </c>
      <c r="G12" s="22">
        <f t="shared" si="0"/>
        <v>242.69059999999999</v>
      </c>
      <c r="H12" s="22">
        <f t="shared" si="1"/>
        <v>485.38119999999998</v>
      </c>
      <c r="I12" s="26"/>
    </row>
    <row r="13" spans="2:9" ht="15">
      <c r="B13" s="24" t="s">
        <v>26</v>
      </c>
      <c r="C13" s="9" t="s">
        <v>13</v>
      </c>
      <c r="D13" s="10">
        <v>19</v>
      </c>
      <c r="E13" s="21">
        <v>69.17</v>
      </c>
      <c r="F13" s="22">
        <f t="shared" si="2"/>
        <v>12.4506</v>
      </c>
      <c r="G13" s="22">
        <f t="shared" si="0"/>
        <v>81.620599999999996</v>
      </c>
      <c r="H13" s="22">
        <f t="shared" si="1"/>
        <v>1550.7913999999998</v>
      </c>
      <c r="I13" s="23"/>
    </row>
    <row r="14" spans="2:9" ht="15">
      <c r="B14" s="24" t="s">
        <v>28</v>
      </c>
      <c r="C14" s="9" t="s">
        <v>29</v>
      </c>
      <c r="D14" s="10">
        <v>16</v>
      </c>
      <c r="E14" s="21">
        <v>57.29</v>
      </c>
      <c r="F14" s="22">
        <f t="shared" si="2"/>
        <v>10.312199999999999</v>
      </c>
      <c r="G14" s="22">
        <f t="shared" si="0"/>
        <v>67.602199999999996</v>
      </c>
      <c r="H14" s="22">
        <f t="shared" si="1"/>
        <v>1081.6351999999999</v>
      </c>
      <c r="I14" s="26"/>
    </row>
    <row r="15" spans="2:9" ht="15">
      <c r="B15" s="24" t="s">
        <v>30</v>
      </c>
      <c r="C15" s="9" t="s">
        <v>31</v>
      </c>
      <c r="D15" s="10">
        <v>80</v>
      </c>
      <c r="E15" s="21">
        <v>17.14</v>
      </c>
      <c r="F15" s="22">
        <f t="shared" si="2"/>
        <v>3.0851999999999999</v>
      </c>
      <c r="G15" s="22">
        <f t="shared" si="0"/>
        <v>20.225200000000001</v>
      </c>
      <c r="H15" s="22">
        <f t="shared" si="1"/>
        <v>1618.0160000000001</v>
      </c>
      <c r="I15" s="23"/>
    </row>
    <row r="16" spans="2:9" ht="15">
      <c r="B16" s="24" t="s">
        <v>32</v>
      </c>
      <c r="C16" s="9" t="s">
        <v>31</v>
      </c>
      <c r="D16" s="10">
        <v>44</v>
      </c>
      <c r="E16" s="21">
        <v>53</v>
      </c>
      <c r="F16" s="22">
        <f t="shared" si="2"/>
        <v>9.5399999999999991</v>
      </c>
      <c r="G16" s="22">
        <f t="shared" si="0"/>
        <v>62.54</v>
      </c>
      <c r="H16" s="22">
        <f t="shared" si="1"/>
        <v>2751.7599999999998</v>
      </c>
      <c r="I16" s="23"/>
    </row>
    <row r="17" spans="2:9" ht="15">
      <c r="B17" s="24" t="s">
        <v>33</v>
      </c>
      <c r="C17" s="9" t="s">
        <v>31</v>
      </c>
      <c r="D17" s="10">
        <v>13</v>
      </c>
      <c r="E17" s="21">
        <v>26.96</v>
      </c>
      <c r="F17" s="22">
        <f t="shared" si="2"/>
        <v>4.8528000000000002</v>
      </c>
      <c r="G17" s="22">
        <f t="shared" si="0"/>
        <v>31.812800000000003</v>
      </c>
      <c r="H17" s="22">
        <f t="shared" si="1"/>
        <v>413.56640000000004</v>
      </c>
      <c r="I17" s="23"/>
    </row>
    <row r="18" spans="2:9" ht="15">
      <c r="B18" s="24" t="s">
        <v>34</v>
      </c>
      <c r="C18" s="9" t="s">
        <v>31</v>
      </c>
      <c r="D18" s="10">
        <v>18</v>
      </c>
      <c r="E18" s="21">
        <v>122.14</v>
      </c>
      <c r="F18" s="22">
        <f t="shared" si="2"/>
        <v>21.985199999999999</v>
      </c>
      <c r="G18" s="22">
        <f t="shared" si="0"/>
        <v>144.12520000000001</v>
      </c>
      <c r="H18" s="22">
        <f t="shared" si="1"/>
        <v>2594.2536</v>
      </c>
      <c r="I18" s="23"/>
    </row>
    <row r="19" spans="2:9" ht="15">
      <c r="B19" s="24" t="s">
        <v>35</v>
      </c>
      <c r="C19" s="9" t="s">
        <v>31</v>
      </c>
      <c r="D19" s="10">
        <v>36</v>
      </c>
      <c r="E19" s="21">
        <v>176.15</v>
      </c>
      <c r="F19" s="22">
        <f t="shared" si="2"/>
        <v>31.707000000000001</v>
      </c>
      <c r="G19" s="22">
        <f t="shared" si="0"/>
        <v>207.857</v>
      </c>
      <c r="H19" s="22">
        <f t="shared" si="1"/>
        <v>7482.8519999999999</v>
      </c>
      <c r="I19" s="23"/>
    </row>
    <row r="20" spans="2:9" ht="15">
      <c r="B20" s="24" t="s">
        <v>37</v>
      </c>
      <c r="C20" s="9" t="s">
        <v>13</v>
      </c>
      <c r="D20" s="10">
        <v>41</v>
      </c>
      <c r="E20" s="21">
        <v>20</v>
      </c>
      <c r="F20" s="22">
        <f t="shared" si="2"/>
        <v>3.5999999999999996</v>
      </c>
      <c r="G20" s="22">
        <f t="shared" si="0"/>
        <v>23.6</v>
      </c>
      <c r="H20" s="22">
        <f t="shared" si="1"/>
        <v>967.6</v>
      </c>
      <c r="I20" s="23"/>
    </row>
    <row r="21" spans="2:9" ht="15" customHeight="1">
      <c r="B21" s="24" t="s">
        <v>38</v>
      </c>
      <c r="C21" s="9" t="s">
        <v>13</v>
      </c>
      <c r="D21" s="10">
        <v>22</v>
      </c>
      <c r="E21" s="21">
        <v>37.46</v>
      </c>
      <c r="F21" s="22"/>
      <c r="G21" s="22">
        <f t="shared" si="0"/>
        <v>37.46</v>
      </c>
      <c r="H21" s="22">
        <f t="shared" si="1"/>
        <v>824.12</v>
      </c>
      <c r="I21" s="23"/>
    </row>
    <row r="22" spans="2:9" ht="15">
      <c r="B22" s="24" t="s">
        <v>46</v>
      </c>
      <c r="C22" s="9" t="s">
        <v>13</v>
      </c>
      <c r="D22" s="10">
        <v>20</v>
      </c>
      <c r="E22" s="21">
        <v>154.26</v>
      </c>
      <c r="F22" s="22">
        <f>+E22*18%</f>
        <v>27.766799999999996</v>
      </c>
      <c r="G22" s="22">
        <f t="shared" si="0"/>
        <v>182.02679999999998</v>
      </c>
      <c r="H22" s="22">
        <f>G22*D22</f>
        <v>3640.5359999999996</v>
      </c>
      <c r="I22" s="23"/>
    </row>
    <row r="23" spans="2:9" ht="15">
      <c r="B23" s="24" t="s">
        <v>48</v>
      </c>
      <c r="C23" s="9" t="s">
        <v>31</v>
      </c>
      <c r="D23" s="10">
        <v>3</v>
      </c>
      <c r="E23" s="21">
        <v>26.44</v>
      </c>
      <c r="F23" s="22">
        <f>+E23*18%</f>
        <v>4.7591999999999999</v>
      </c>
      <c r="G23" s="22">
        <f t="shared" si="0"/>
        <v>31.199200000000001</v>
      </c>
      <c r="H23" s="22">
        <f>G23*D23</f>
        <v>93.5976</v>
      </c>
      <c r="I23" s="23" t="s">
        <v>49</v>
      </c>
    </row>
    <row r="24" spans="2:9" ht="15">
      <c r="B24" s="24" t="s">
        <v>52</v>
      </c>
      <c r="C24" s="9" t="s">
        <v>31</v>
      </c>
      <c r="D24" s="10">
        <v>9</v>
      </c>
      <c r="E24" s="21">
        <v>367.28</v>
      </c>
      <c r="F24" s="22">
        <f t="shared" si="2"/>
        <v>66.110399999999998</v>
      </c>
      <c r="G24" s="22">
        <f t="shared" si="0"/>
        <v>433.3904</v>
      </c>
      <c r="H24" s="22">
        <f t="shared" si="1"/>
        <v>3900.5136000000002</v>
      </c>
      <c r="I24" s="23"/>
    </row>
    <row r="25" spans="2:9" ht="15">
      <c r="B25" s="24" t="s">
        <v>53</v>
      </c>
      <c r="C25" s="9" t="s">
        <v>31</v>
      </c>
      <c r="D25" s="10">
        <v>11</v>
      </c>
      <c r="E25" s="21">
        <v>500</v>
      </c>
      <c r="F25" s="22">
        <f t="shared" si="2"/>
        <v>90</v>
      </c>
      <c r="G25" s="22">
        <f t="shared" si="0"/>
        <v>590</v>
      </c>
      <c r="H25" s="22">
        <f t="shared" si="1"/>
        <v>6490</v>
      </c>
      <c r="I25" s="23"/>
    </row>
    <row r="26" spans="2:9" ht="15">
      <c r="B26" s="56" t="s">
        <v>54</v>
      </c>
      <c r="C26" s="9" t="s">
        <v>29</v>
      </c>
      <c r="D26" s="27">
        <v>13</v>
      </c>
      <c r="E26" s="21">
        <v>230</v>
      </c>
      <c r="F26" s="22">
        <f t="shared" si="2"/>
        <v>41.4</v>
      </c>
      <c r="G26" s="22">
        <f t="shared" si="0"/>
        <v>271.39999999999998</v>
      </c>
      <c r="H26" s="22">
        <f t="shared" si="1"/>
        <v>3528.2</v>
      </c>
      <c r="I26" s="23"/>
    </row>
    <row r="27" spans="2:9" ht="15">
      <c r="B27" s="24" t="s">
        <v>57</v>
      </c>
      <c r="C27" s="9" t="s">
        <v>31</v>
      </c>
      <c r="D27" s="10">
        <v>2</v>
      </c>
      <c r="E27" s="21">
        <v>120</v>
      </c>
      <c r="F27" s="22">
        <f t="shared" si="2"/>
        <v>21.599999999999998</v>
      </c>
      <c r="G27" s="22">
        <f t="shared" si="0"/>
        <v>141.6</v>
      </c>
      <c r="H27" s="22">
        <f t="shared" si="1"/>
        <v>283.2</v>
      </c>
      <c r="I27" s="23" t="s">
        <v>58</v>
      </c>
    </row>
    <row r="28" spans="2:9" ht="15">
      <c r="B28" s="24" t="s">
        <v>60</v>
      </c>
      <c r="C28" s="9" t="s">
        <v>31</v>
      </c>
      <c r="D28" s="10">
        <v>32</v>
      </c>
      <c r="E28" s="21">
        <v>54.36</v>
      </c>
      <c r="F28" s="22">
        <f t="shared" si="2"/>
        <v>9.7847999999999988</v>
      </c>
      <c r="G28" s="22">
        <f t="shared" si="0"/>
        <v>64.144800000000004</v>
      </c>
      <c r="H28" s="22">
        <f t="shared" si="1"/>
        <v>2052.6336000000001</v>
      </c>
      <c r="I28" s="23"/>
    </row>
    <row r="29" spans="2:9" ht="15">
      <c r="B29" s="24" t="s">
        <v>61</v>
      </c>
      <c r="C29" s="9" t="s">
        <v>13</v>
      </c>
      <c r="D29" s="10">
        <v>15</v>
      </c>
      <c r="E29" s="21">
        <v>330.55</v>
      </c>
      <c r="F29" s="22">
        <f t="shared" si="2"/>
        <v>59.499000000000002</v>
      </c>
      <c r="G29" s="22">
        <f t="shared" si="0"/>
        <v>390.04900000000004</v>
      </c>
      <c r="H29" s="22">
        <f t="shared" si="1"/>
        <v>5850.7350000000006</v>
      </c>
      <c r="I29" s="23"/>
    </row>
    <row r="30" spans="2:9" ht="15">
      <c r="B30" s="24" t="s">
        <v>62</v>
      </c>
      <c r="C30" s="9" t="s">
        <v>31</v>
      </c>
      <c r="D30" s="10">
        <v>25</v>
      </c>
      <c r="E30" s="21">
        <v>60</v>
      </c>
      <c r="F30" s="22">
        <f t="shared" si="2"/>
        <v>10.799999999999999</v>
      </c>
      <c r="G30" s="22">
        <f t="shared" si="0"/>
        <v>70.8</v>
      </c>
      <c r="H30" s="22">
        <f t="shared" si="1"/>
        <v>1770</v>
      </c>
      <c r="I30" s="23"/>
    </row>
    <row r="31" spans="2:9" ht="15">
      <c r="B31" s="24" t="s">
        <v>63</v>
      </c>
      <c r="C31" s="9" t="s">
        <v>31</v>
      </c>
      <c r="D31" s="10">
        <v>2</v>
      </c>
      <c r="E31" s="21">
        <v>65</v>
      </c>
      <c r="F31" s="22">
        <f t="shared" si="2"/>
        <v>11.7</v>
      </c>
      <c r="G31" s="22">
        <f t="shared" si="0"/>
        <v>76.7</v>
      </c>
      <c r="H31" s="22">
        <f t="shared" si="1"/>
        <v>153.4</v>
      </c>
      <c r="I31" s="23"/>
    </row>
    <row r="32" spans="2:9" ht="15">
      <c r="B32" s="24" t="s">
        <v>64</v>
      </c>
      <c r="C32" s="9" t="s">
        <v>31</v>
      </c>
      <c r="D32" s="10">
        <v>10</v>
      </c>
      <c r="E32" s="21">
        <v>105</v>
      </c>
      <c r="F32" s="22">
        <f t="shared" si="2"/>
        <v>18.899999999999999</v>
      </c>
      <c r="G32" s="22">
        <f t="shared" si="0"/>
        <v>123.9</v>
      </c>
      <c r="H32" s="22">
        <f t="shared" si="1"/>
        <v>1239</v>
      </c>
      <c r="I32" s="23"/>
    </row>
    <row r="33" spans="2:9" ht="15">
      <c r="B33" s="24" t="s">
        <v>67</v>
      </c>
      <c r="C33" s="9" t="s">
        <v>13</v>
      </c>
      <c r="D33" s="10">
        <v>33</v>
      </c>
      <c r="E33" s="21">
        <v>34</v>
      </c>
      <c r="F33" s="22">
        <f t="shared" si="2"/>
        <v>6.12</v>
      </c>
      <c r="G33" s="22">
        <f t="shared" si="0"/>
        <v>40.119999999999997</v>
      </c>
      <c r="H33" s="22">
        <f t="shared" si="1"/>
        <v>1323.9599999999998</v>
      </c>
      <c r="I33" s="23"/>
    </row>
    <row r="34" spans="2:9" ht="15">
      <c r="B34" s="24" t="s">
        <v>69</v>
      </c>
      <c r="C34" s="9" t="s">
        <v>13</v>
      </c>
      <c r="D34" s="10">
        <v>14</v>
      </c>
      <c r="E34" s="21">
        <v>940</v>
      </c>
      <c r="F34" s="22">
        <f t="shared" si="2"/>
        <v>169.2</v>
      </c>
      <c r="G34" s="22">
        <f t="shared" si="0"/>
        <v>1109.2</v>
      </c>
      <c r="H34" s="22">
        <f t="shared" si="1"/>
        <v>15528.800000000001</v>
      </c>
      <c r="I34" s="23"/>
    </row>
    <row r="35" spans="2:9" ht="15">
      <c r="B35" s="24" t="s">
        <v>72</v>
      </c>
      <c r="C35" s="9" t="s">
        <v>31</v>
      </c>
      <c r="D35" s="10">
        <v>25</v>
      </c>
      <c r="E35" s="21">
        <v>95.49</v>
      </c>
      <c r="F35" s="22">
        <f t="shared" si="2"/>
        <v>17.188199999999998</v>
      </c>
      <c r="G35" s="22">
        <f t="shared" si="0"/>
        <v>112.67819999999999</v>
      </c>
      <c r="H35" s="22">
        <f t="shared" si="1"/>
        <v>2816.9549999999999</v>
      </c>
      <c r="I35" s="23"/>
    </row>
    <row r="36" spans="2:9" ht="15">
      <c r="B36" s="24" t="s">
        <v>73</v>
      </c>
      <c r="C36" s="9" t="s">
        <v>13</v>
      </c>
      <c r="D36" s="10">
        <v>60</v>
      </c>
      <c r="E36" s="21">
        <v>6.4</v>
      </c>
      <c r="F36" s="22">
        <f t="shared" si="2"/>
        <v>1.1519999999999999</v>
      </c>
      <c r="G36" s="22">
        <f t="shared" si="0"/>
        <v>7.5520000000000005</v>
      </c>
      <c r="H36" s="22">
        <f t="shared" si="1"/>
        <v>453.12</v>
      </c>
      <c r="I36" s="23" t="s">
        <v>74</v>
      </c>
    </row>
    <row r="37" spans="2:9" ht="15">
      <c r="B37" s="24" t="s">
        <v>75</v>
      </c>
      <c r="C37" s="9" t="s">
        <v>31</v>
      </c>
      <c r="D37" s="10">
        <v>23</v>
      </c>
      <c r="E37" s="21">
        <v>105.5</v>
      </c>
      <c r="F37" s="22">
        <f t="shared" si="2"/>
        <v>18.989999999999998</v>
      </c>
      <c r="G37" s="22">
        <f t="shared" si="0"/>
        <v>124.49</v>
      </c>
      <c r="H37" s="22">
        <f t="shared" si="1"/>
        <v>2863.27</v>
      </c>
      <c r="I37" s="23" t="s">
        <v>74</v>
      </c>
    </row>
    <row r="38" spans="2:9" ht="15">
      <c r="B38" s="24" t="s">
        <v>70</v>
      </c>
      <c r="C38" s="9" t="s">
        <v>31</v>
      </c>
      <c r="D38" s="10">
        <v>1</v>
      </c>
      <c r="E38" s="21">
        <v>211.65</v>
      </c>
      <c r="F38" s="22"/>
      <c r="G38" s="22">
        <f>F38+E38</f>
        <v>211.65</v>
      </c>
      <c r="H38" s="22">
        <f t="shared" si="1"/>
        <v>211.65</v>
      </c>
      <c r="I38" s="23"/>
    </row>
    <row r="39" spans="2:9" ht="15">
      <c r="B39" s="24" t="s">
        <v>77</v>
      </c>
      <c r="C39" s="9" t="s">
        <v>13</v>
      </c>
      <c r="D39" s="10">
        <v>24</v>
      </c>
      <c r="E39" s="21">
        <v>330.55</v>
      </c>
      <c r="F39" s="22">
        <f t="shared" si="2"/>
        <v>59.499000000000002</v>
      </c>
      <c r="G39" s="22">
        <f>F39+E39</f>
        <v>390.04900000000004</v>
      </c>
      <c r="H39" s="22">
        <f t="shared" si="1"/>
        <v>9361.1760000000013</v>
      </c>
      <c r="I39" s="23"/>
    </row>
    <row r="40" spans="2:9" ht="15">
      <c r="B40" s="24" t="s">
        <v>78</v>
      </c>
      <c r="C40" s="9" t="s">
        <v>13</v>
      </c>
      <c r="D40" s="10">
        <v>13</v>
      </c>
      <c r="E40" s="21">
        <v>224.99</v>
      </c>
      <c r="F40" s="22">
        <f t="shared" si="2"/>
        <v>40.498199999999997</v>
      </c>
      <c r="G40" s="22">
        <f t="shared" si="0"/>
        <v>265.48820000000001</v>
      </c>
      <c r="H40" s="22">
        <f t="shared" si="1"/>
        <v>3451.3465999999999</v>
      </c>
      <c r="I40" s="23"/>
    </row>
    <row r="41" spans="2:9" ht="15">
      <c r="B41" s="24" t="s">
        <v>79</v>
      </c>
      <c r="C41" s="9" t="s">
        <v>13</v>
      </c>
      <c r="D41" s="10">
        <v>57</v>
      </c>
      <c r="E41" s="21">
        <v>19.5</v>
      </c>
      <c r="F41" s="22">
        <f t="shared" si="2"/>
        <v>3.51</v>
      </c>
      <c r="G41" s="22">
        <f t="shared" si="0"/>
        <v>23.009999999999998</v>
      </c>
      <c r="H41" s="22">
        <f t="shared" si="1"/>
        <v>1311.57</v>
      </c>
      <c r="I41" s="23"/>
    </row>
    <row r="42" spans="2:9" ht="15">
      <c r="B42" s="24" t="s">
        <v>80</v>
      </c>
      <c r="C42" s="9" t="s">
        <v>13</v>
      </c>
      <c r="D42" s="10">
        <v>84</v>
      </c>
      <c r="E42" s="21">
        <v>57.88</v>
      </c>
      <c r="F42" s="22">
        <f t="shared" si="2"/>
        <v>10.4184</v>
      </c>
      <c r="G42" s="22">
        <f t="shared" si="0"/>
        <v>68.298400000000001</v>
      </c>
      <c r="H42" s="22">
        <f t="shared" si="1"/>
        <v>5737.0655999999999</v>
      </c>
      <c r="I42" s="23"/>
    </row>
    <row r="43" spans="2:9" ht="15">
      <c r="B43" s="24" t="s">
        <v>82</v>
      </c>
      <c r="C43" s="9" t="s">
        <v>31</v>
      </c>
      <c r="D43" s="10">
        <v>13</v>
      </c>
      <c r="E43" s="21">
        <v>321</v>
      </c>
      <c r="F43" s="22">
        <f t="shared" si="2"/>
        <v>57.78</v>
      </c>
      <c r="G43" s="22">
        <f t="shared" si="0"/>
        <v>378.78</v>
      </c>
      <c r="H43" s="22">
        <f t="shared" si="1"/>
        <v>4924.1399999999994</v>
      </c>
      <c r="I43" s="23"/>
    </row>
    <row r="44" spans="2:9" ht="15">
      <c r="B44" s="24" t="s">
        <v>83</v>
      </c>
      <c r="C44" s="9" t="s">
        <v>13</v>
      </c>
      <c r="D44" s="10">
        <v>60</v>
      </c>
      <c r="E44" s="21">
        <v>23.76</v>
      </c>
      <c r="F44" s="22">
        <f t="shared" si="2"/>
        <v>4.2767999999999997</v>
      </c>
      <c r="G44" s="22">
        <f t="shared" si="0"/>
        <v>28.036799999999999</v>
      </c>
      <c r="H44" s="22">
        <f t="shared" si="1"/>
        <v>1682.2080000000001</v>
      </c>
      <c r="I44" s="23" t="s">
        <v>84</v>
      </c>
    </row>
    <row r="45" spans="2:9" ht="15">
      <c r="B45" s="24" t="s">
        <v>88</v>
      </c>
      <c r="C45" s="9" t="s">
        <v>89</v>
      </c>
      <c r="D45" s="10">
        <v>90</v>
      </c>
      <c r="E45" s="21">
        <v>375</v>
      </c>
      <c r="F45" s="22">
        <f t="shared" si="2"/>
        <v>67.5</v>
      </c>
      <c r="G45" s="22">
        <f t="shared" si="0"/>
        <v>442.5</v>
      </c>
      <c r="H45" s="22">
        <f t="shared" si="1"/>
        <v>39825</v>
      </c>
      <c r="I45" s="23"/>
    </row>
    <row r="46" spans="2:9" ht="15">
      <c r="B46" s="24" t="s">
        <v>90</v>
      </c>
      <c r="C46" s="9" t="s">
        <v>89</v>
      </c>
      <c r="D46" s="10">
        <v>9</v>
      </c>
      <c r="E46" s="21">
        <v>360</v>
      </c>
      <c r="F46" s="22">
        <f t="shared" si="2"/>
        <v>64.8</v>
      </c>
      <c r="G46" s="22">
        <f t="shared" si="0"/>
        <v>424.8</v>
      </c>
      <c r="H46" s="22">
        <f t="shared" si="1"/>
        <v>3823.2000000000003</v>
      </c>
      <c r="I46" s="23"/>
    </row>
    <row r="47" spans="2:9" ht="15">
      <c r="B47" s="24" t="s">
        <v>93</v>
      </c>
      <c r="C47" s="9" t="s">
        <v>13</v>
      </c>
      <c r="D47" s="10">
        <v>19</v>
      </c>
      <c r="E47" s="21">
        <v>360</v>
      </c>
      <c r="F47" s="22">
        <f t="shared" si="2"/>
        <v>64.8</v>
      </c>
      <c r="G47" s="22">
        <f t="shared" si="0"/>
        <v>424.8</v>
      </c>
      <c r="H47" s="22">
        <f t="shared" si="1"/>
        <v>8071.2</v>
      </c>
      <c r="I47" s="23"/>
    </row>
    <row r="48" spans="2:9" ht="15">
      <c r="B48" s="24" t="s">
        <v>94</v>
      </c>
      <c r="C48" s="9" t="s">
        <v>13</v>
      </c>
      <c r="D48" s="10">
        <v>7</v>
      </c>
      <c r="E48" s="21">
        <v>495</v>
      </c>
      <c r="F48" s="22">
        <f t="shared" si="2"/>
        <v>89.1</v>
      </c>
      <c r="G48" s="22">
        <f t="shared" si="0"/>
        <v>584.1</v>
      </c>
      <c r="H48" s="22">
        <f t="shared" si="1"/>
        <v>4088.7000000000003</v>
      </c>
      <c r="I48" s="23"/>
    </row>
    <row r="49" spans="2:9" ht="15">
      <c r="B49" s="24" t="s">
        <v>95</v>
      </c>
      <c r="C49" s="9" t="s">
        <v>13</v>
      </c>
      <c r="D49" s="10">
        <v>40</v>
      </c>
      <c r="E49" s="21">
        <v>18</v>
      </c>
      <c r="F49" s="22">
        <f t="shared" si="2"/>
        <v>3.2399999999999998</v>
      </c>
      <c r="G49" s="22">
        <f t="shared" si="0"/>
        <v>21.24</v>
      </c>
      <c r="H49" s="22">
        <f t="shared" si="1"/>
        <v>849.59999999999991</v>
      </c>
      <c r="I49" s="23"/>
    </row>
    <row r="50" spans="2:9" ht="15">
      <c r="B50" s="24" t="s">
        <v>96</v>
      </c>
      <c r="C50" s="9" t="s">
        <v>29</v>
      </c>
      <c r="D50" s="10">
        <v>2</v>
      </c>
      <c r="E50" s="21">
        <v>241.8</v>
      </c>
      <c r="F50" s="22">
        <f t="shared" si="2"/>
        <v>43.524000000000001</v>
      </c>
      <c r="G50" s="22">
        <f t="shared" si="0"/>
        <v>285.32400000000001</v>
      </c>
      <c r="H50" s="22">
        <f t="shared" si="1"/>
        <v>570.64800000000002</v>
      </c>
      <c r="I50" s="23"/>
    </row>
    <row r="51" spans="2:9" ht="15">
      <c r="B51" s="24" t="s">
        <v>97</v>
      </c>
      <c r="C51" s="9" t="s">
        <v>13</v>
      </c>
      <c r="D51" s="10">
        <v>500</v>
      </c>
      <c r="E51" s="21">
        <v>1.5</v>
      </c>
      <c r="F51" s="22">
        <f t="shared" si="2"/>
        <v>0.27</v>
      </c>
      <c r="G51" s="22">
        <f t="shared" si="0"/>
        <v>1.77</v>
      </c>
      <c r="H51" s="22">
        <f t="shared" si="1"/>
        <v>885</v>
      </c>
      <c r="I51" s="23"/>
    </row>
    <row r="52" spans="2:9" ht="15">
      <c r="B52" s="24" t="s">
        <v>146</v>
      </c>
      <c r="C52" s="9" t="s">
        <v>31</v>
      </c>
      <c r="D52" s="10">
        <v>4</v>
      </c>
      <c r="E52" s="21">
        <v>785</v>
      </c>
      <c r="F52" s="22">
        <f t="shared" si="2"/>
        <v>141.29999999999998</v>
      </c>
      <c r="G52" s="22">
        <f t="shared" si="0"/>
        <v>926.3</v>
      </c>
      <c r="H52" s="22">
        <f t="shared" si="1"/>
        <v>3705.2</v>
      </c>
      <c r="I52" s="29"/>
    </row>
    <row r="53" spans="2:9" ht="15">
      <c r="B53" s="24" t="s">
        <v>98</v>
      </c>
      <c r="C53" s="9" t="s">
        <v>31</v>
      </c>
      <c r="D53" s="10">
        <v>13</v>
      </c>
      <c r="E53" s="21">
        <v>912.34</v>
      </c>
      <c r="F53" s="22">
        <f t="shared" si="2"/>
        <v>164.22120000000001</v>
      </c>
      <c r="G53" s="22">
        <f t="shared" si="0"/>
        <v>1076.5612000000001</v>
      </c>
      <c r="H53" s="22">
        <f t="shared" si="1"/>
        <v>13995.295600000001</v>
      </c>
      <c r="I53" s="23"/>
    </row>
    <row r="54" spans="2:9" ht="15">
      <c r="B54" s="24" t="s">
        <v>99</v>
      </c>
      <c r="C54" s="9" t="s">
        <v>13</v>
      </c>
      <c r="D54" s="10">
        <v>25</v>
      </c>
      <c r="E54" s="21">
        <v>120</v>
      </c>
      <c r="F54" s="22">
        <f t="shared" si="2"/>
        <v>21.599999999999998</v>
      </c>
      <c r="G54" s="22">
        <f t="shared" si="0"/>
        <v>141.6</v>
      </c>
      <c r="H54" s="22">
        <f t="shared" si="1"/>
        <v>3540</v>
      </c>
      <c r="I54" s="23"/>
    </row>
    <row r="55" spans="2:9" ht="15">
      <c r="B55" s="24" t="s">
        <v>145</v>
      </c>
      <c r="C55" s="9" t="s">
        <v>29</v>
      </c>
      <c r="D55" s="10">
        <v>4</v>
      </c>
      <c r="E55" s="21">
        <v>260</v>
      </c>
      <c r="F55" s="22">
        <f t="shared" si="2"/>
        <v>46.8</v>
      </c>
      <c r="G55" s="22">
        <f t="shared" si="0"/>
        <v>306.8</v>
      </c>
      <c r="H55" s="22">
        <f t="shared" si="1"/>
        <v>1227.2</v>
      </c>
      <c r="I55" s="23"/>
    </row>
    <row r="56" spans="2:9" ht="15">
      <c r="B56" s="24" t="s">
        <v>100</v>
      </c>
      <c r="C56" s="9" t="s">
        <v>29</v>
      </c>
      <c r="D56" s="10">
        <v>2</v>
      </c>
      <c r="E56" s="21">
        <v>282</v>
      </c>
      <c r="F56" s="22">
        <f t="shared" si="2"/>
        <v>50.76</v>
      </c>
      <c r="G56" s="22">
        <f t="shared" si="0"/>
        <v>332.76</v>
      </c>
      <c r="H56" s="22">
        <f t="shared" si="1"/>
        <v>665.52</v>
      </c>
      <c r="I56" s="23" t="s">
        <v>101</v>
      </c>
    </row>
    <row r="57" spans="2:9" ht="15">
      <c r="B57" s="24" t="s">
        <v>102</v>
      </c>
      <c r="C57" s="9" t="s">
        <v>13</v>
      </c>
      <c r="D57" s="10">
        <v>20</v>
      </c>
      <c r="E57" s="21">
        <v>84</v>
      </c>
      <c r="F57" s="22">
        <f t="shared" si="2"/>
        <v>15.12</v>
      </c>
      <c r="G57" s="22">
        <f t="shared" si="0"/>
        <v>99.12</v>
      </c>
      <c r="H57" s="22">
        <f t="shared" si="1"/>
        <v>1982.4</v>
      </c>
      <c r="I57" s="23"/>
    </row>
    <row r="58" spans="2:9" ht="15">
      <c r="B58" s="24" t="s">
        <v>103</v>
      </c>
      <c r="C58" s="9" t="s">
        <v>29</v>
      </c>
      <c r="D58" s="10">
        <v>7</v>
      </c>
      <c r="E58" s="21">
        <v>50</v>
      </c>
      <c r="F58" s="22">
        <f t="shared" si="2"/>
        <v>9</v>
      </c>
      <c r="G58" s="22">
        <f t="shared" si="0"/>
        <v>59</v>
      </c>
      <c r="H58" s="22">
        <f t="shared" si="1"/>
        <v>413</v>
      </c>
      <c r="I58" s="23" t="s">
        <v>104</v>
      </c>
    </row>
    <row r="59" spans="2:9" ht="15">
      <c r="B59" s="24" t="s">
        <v>154</v>
      </c>
      <c r="C59" s="9" t="s">
        <v>13</v>
      </c>
      <c r="D59" s="10">
        <v>20</v>
      </c>
      <c r="E59" s="21">
        <v>17.63</v>
      </c>
      <c r="F59" s="22">
        <f t="shared" si="2"/>
        <v>3.1733999999999996</v>
      </c>
      <c r="G59" s="22">
        <f t="shared" si="0"/>
        <v>20.8034</v>
      </c>
      <c r="H59" s="22">
        <f t="shared" si="1"/>
        <v>416.06799999999998</v>
      </c>
      <c r="I59" s="23"/>
    </row>
    <row r="60" spans="2:9" ht="15">
      <c r="B60" s="24" t="s">
        <v>105</v>
      </c>
      <c r="C60" s="9" t="s">
        <v>13</v>
      </c>
      <c r="D60" s="10">
        <v>24</v>
      </c>
      <c r="E60" s="21">
        <v>34.020000000000003</v>
      </c>
      <c r="F60" s="22">
        <f t="shared" si="2"/>
        <v>6.1236000000000006</v>
      </c>
      <c r="G60" s="22">
        <f t="shared" si="0"/>
        <v>40.143600000000006</v>
      </c>
      <c r="H60" s="22">
        <f t="shared" si="1"/>
        <v>963.44640000000015</v>
      </c>
      <c r="I60" s="23"/>
    </row>
    <row r="61" spans="2:9" ht="15">
      <c r="B61" s="24" t="s">
        <v>106</v>
      </c>
      <c r="C61" s="9" t="s">
        <v>13</v>
      </c>
      <c r="D61" s="10">
        <v>60</v>
      </c>
      <c r="E61" s="21">
        <v>7</v>
      </c>
      <c r="F61" s="22">
        <f t="shared" si="2"/>
        <v>1.26</v>
      </c>
      <c r="G61" s="22">
        <f t="shared" si="0"/>
        <v>8.26</v>
      </c>
      <c r="H61" s="22">
        <f t="shared" si="1"/>
        <v>495.59999999999997</v>
      </c>
      <c r="I61" s="23"/>
    </row>
    <row r="62" spans="2:9" ht="15">
      <c r="B62" s="24" t="s">
        <v>107</v>
      </c>
      <c r="C62" s="9" t="s">
        <v>31</v>
      </c>
      <c r="D62" s="10">
        <v>8</v>
      </c>
      <c r="E62" s="21">
        <v>156</v>
      </c>
      <c r="F62" s="22">
        <f t="shared" si="2"/>
        <v>28.08</v>
      </c>
      <c r="G62" s="22">
        <f t="shared" si="0"/>
        <v>184.07999999999998</v>
      </c>
      <c r="H62" s="22">
        <f t="shared" si="1"/>
        <v>1472.6399999999999</v>
      </c>
      <c r="I62" s="23"/>
    </row>
    <row r="63" spans="2:9" ht="15">
      <c r="B63" s="24" t="s">
        <v>108</v>
      </c>
      <c r="C63" s="9" t="s">
        <v>13</v>
      </c>
      <c r="D63" s="10">
        <v>107</v>
      </c>
      <c r="E63" s="21">
        <v>68.180000000000007</v>
      </c>
      <c r="F63" s="22">
        <f t="shared" si="2"/>
        <v>12.272400000000001</v>
      </c>
      <c r="G63" s="22">
        <f t="shared" si="0"/>
        <v>80.452400000000011</v>
      </c>
      <c r="H63" s="22">
        <f t="shared" si="1"/>
        <v>8608.4068000000007</v>
      </c>
      <c r="I63" s="23"/>
    </row>
    <row r="64" spans="2:9" ht="15">
      <c r="B64" s="24" t="s">
        <v>109</v>
      </c>
      <c r="C64" s="9" t="s">
        <v>29</v>
      </c>
      <c r="D64" s="10">
        <v>3</v>
      </c>
      <c r="E64" s="21">
        <v>54.75</v>
      </c>
      <c r="F64" s="22">
        <f t="shared" ref="F64:F79" si="3">+E64*18%</f>
        <v>9.8550000000000004</v>
      </c>
      <c r="G64" s="22">
        <f t="shared" ref="G64:G78" si="4">F64+E64</f>
        <v>64.605000000000004</v>
      </c>
      <c r="H64" s="22">
        <f t="shared" ref="H64:H78" si="5">G64*D64</f>
        <v>193.815</v>
      </c>
      <c r="I64" s="23" t="s">
        <v>110</v>
      </c>
    </row>
    <row r="65" spans="2:11" ht="15">
      <c r="B65" s="24" t="s">
        <v>114</v>
      </c>
      <c r="C65" s="9" t="s">
        <v>13</v>
      </c>
      <c r="D65" s="10">
        <v>300</v>
      </c>
      <c r="E65" s="21">
        <v>1.7</v>
      </c>
      <c r="F65" s="22">
        <f t="shared" si="3"/>
        <v>0.30599999999999999</v>
      </c>
      <c r="G65" s="22">
        <f t="shared" si="4"/>
        <v>2.0059999999999998</v>
      </c>
      <c r="H65" s="22">
        <f t="shared" si="5"/>
        <v>601.79999999999995</v>
      </c>
      <c r="I65" s="23"/>
    </row>
    <row r="66" spans="2:11" ht="15">
      <c r="B66" s="24" t="s">
        <v>115</v>
      </c>
      <c r="C66" s="9" t="s">
        <v>13</v>
      </c>
      <c r="D66" s="69">
        <v>1916</v>
      </c>
      <c r="E66" s="21">
        <v>1.75</v>
      </c>
      <c r="F66" s="22">
        <f t="shared" si="3"/>
        <v>0.315</v>
      </c>
      <c r="G66" s="22">
        <f t="shared" si="4"/>
        <v>2.0649999999999999</v>
      </c>
      <c r="H66" s="22">
        <f t="shared" si="5"/>
        <v>3956.54</v>
      </c>
      <c r="I66" s="23" t="s">
        <v>116</v>
      </c>
    </row>
    <row r="67" spans="2:11" ht="15">
      <c r="B67" s="56" t="s">
        <v>155</v>
      </c>
      <c r="C67" s="9" t="s">
        <v>13</v>
      </c>
      <c r="D67" s="10">
        <v>650</v>
      </c>
      <c r="E67" s="21">
        <v>1.75</v>
      </c>
      <c r="F67" s="22">
        <f t="shared" si="3"/>
        <v>0.315</v>
      </c>
      <c r="G67" s="22">
        <f t="shared" si="4"/>
        <v>2.0649999999999999</v>
      </c>
      <c r="H67" s="22">
        <f t="shared" si="5"/>
        <v>1342.25</v>
      </c>
      <c r="I67" s="23"/>
    </row>
    <row r="68" spans="2:11" ht="15">
      <c r="B68" s="24" t="s">
        <v>117</v>
      </c>
      <c r="C68" s="9" t="s">
        <v>13</v>
      </c>
      <c r="D68" s="10">
        <v>750</v>
      </c>
      <c r="E68" s="21">
        <v>6.3</v>
      </c>
      <c r="F68" s="22">
        <f t="shared" si="3"/>
        <v>1.1339999999999999</v>
      </c>
      <c r="G68" s="22">
        <f t="shared" si="4"/>
        <v>7.4339999999999993</v>
      </c>
      <c r="H68" s="22">
        <f t="shared" si="5"/>
        <v>5575.4999999999991</v>
      </c>
      <c r="I68" s="23"/>
    </row>
    <row r="69" spans="2:11" ht="15">
      <c r="B69" s="24" t="s">
        <v>118</v>
      </c>
      <c r="C69" s="9" t="s">
        <v>13</v>
      </c>
      <c r="D69" s="10">
        <v>456</v>
      </c>
      <c r="E69" s="21">
        <v>6.52</v>
      </c>
      <c r="F69" s="22">
        <f t="shared" si="3"/>
        <v>1.1736</v>
      </c>
      <c r="G69" s="22">
        <f t="shared" si="4"/>
        <v>7.6936</v>
      </c>
      <c r="H69" s="22">
        <f t="shared" si="5"/>
        <v>3508.2815999999998</v>
      </c>
      <c r="I69" s="31"/>
    </row>
    <row r="70" spans="2:11" ht="15">
      <c r="B70" s="24" t="s">
        <v>119</v>
      </c>
      <c r="C70" s="9" t="s">
        <v>13</v>
      </c>
      <c r="D70" s="10">
        <v>350</v>
      </c>
      <c r="E70" s="21">
        <v>4.5999999999999996</v>
      </c>
      <c r="F70" s="22">
        <f t="shared" si="3"/>
        <v>0.82799999999999996</v>
      </c>
      <c r="G70" s="22">
        <f t="shared" si="4"/>
        <v>5.4279999999999999</v>
      </c>
      <c r="H70" s="22">
        <f t="shared" si="5"/>
        <v>1899.8</v>
      </c>
      <c r="I70" s="23"/>
    </row>
    <row r="71" spans="2:11" ht="15">
      <c r="B71" s="24" t="s">
        <v>122</v>
      </c>
      <c r="C71" s="9" t="s">
        <v>13</v>
      </c>
      <c r="D71" s="10">
        <v>5</v>
      </c>
      <c r="E71" s="21">
        <v>90</v>
      </c>
      <c r="F71" s="32">
        <f t="shared" si="3"/>
        <v>16.2</v>
      </c>
      <c r="G71" s="22">
        <f t="shared" si="4"/>
        <v>106.2</v>
      </c>
      <c r="H71" s="22">
        <f t="shared" si="5"/>
        <v>531</v>
      </c>
      <c r="I71" s="23"/>
      <c r="J71" s="55"/>
    </row>
    <row r="72" spans="2:11" ht="15">
      <c r="B72" s="24" t="s">
        <v>123</v>
      </c>
      <c r="C72" s="9" t="s">
        <v>13</v>
      </c>
      <c r="D72" s="10">
        <v>12</v>
      </c>
      <c r="E72" s="21">
        <v>211.34</v>
      </c>
      <c r="F72" s="32">
        <f t="shared" si="3"/>
        <v>38.041199999999996</v>
      </c>
      <c r="G72" s="22">
        <f t="shared" si="4"/>
        <v>249.38120000000001</v>
      </c>
      <c r="H72" s="22">
        <f t="shared" si="5"/>
        <v>2992.5744</v>
      </c>
      <c r="I72" s="23"/>
      <c r="J72" s="55"/>
    </row>
    <row r="73" spans="2:11" ht="15">
      <c r="B73" s="24" t="s">
        <v>124</v>
      </c>
      <c r="C73" s="9" t="s">
        <v>13</v>
      </c>
      <c r="D73" s="10">
        <v>55</v>
      </c>
      <c r="E73" s="21">
        <v>95.49</v>
      </c>
      <c r="F73" s="22">
        <f t="shared" si="3"/>
        <v>17.188199999999998</v>
      </c>
      <c r="G73" s="22">
        <f t="shared" si="4"/>
        <v>112.67819999999999</v>
      </c>
      <c r="H73" s="22">
        <f t="shared" si="5"/>
        <v>6197.3009999999995</v>
      </c>
      <c r="I73" s="23" t="s">
        <v>74</v>
      </c>
      <c r="J73" s="55"/>
    </row>
    <row r="74" spans="2:11" ht="15">
      <c r="B74" s="24" t="s">
        <v>125</v>
      </c>
      <c r="C74" s="9" t="s">
        <v>13</v>
      </c>
      <c r="D74" s="10">
        <v>14</v>
      </c>
      <c r="E74" s="21">
        <v>281.38</v>
      </c>
      <c r="F74" s="22">
        <f t="shared" si="3"/>
        <v>50.648399999999995</v>
      </c>
      <c r="G74" s="22">
        <f t="shared" si="4"/>
        <v>332.02839999999998</v>
      </c>
      <c r="H74" s="22">
        <f t="shared" si="5"/>
        <v>4648.3975999999993</v>
      </c>
      <c r="I74" s="23"/>
      <c r="J74" s="55"/>
    </row>
    <row r="75" spans="2:11" ht="15">
      <c r="B75" s="24" t="s">
        <v>133</v>
      </c>
      <c r="C75" s="9" t="s">
        <v>13</v>
      </c>
      <c r="D75" s="10">
        <v>20</v>
      </c>
      <c r="E75" s="21">
        <v>72.25</v>
      </c>
      <c r="F75" s="22">
        <f t="shared" si="3"/>
        <v>13.004999999999999</v>
      </c>
      <c r="G75" s="22">
        <f t="shared" si="4"/>
        <v>85.254999999999995</v>
      </c>
      <c r="H75" s="22">
        <f t="shared" si="5"/>
        <v>1705.1</v>
      </c>
      <c r="I75" s="23"/>
      <c r="J75" s="55"/>
    </row>
    <row r="76" spans="2:11" ht="15">
      <c r="B76" s="24" t="s">
        <v>134</v>
      </c>
      <c r="C76" s="9" t="s">
        <v>13</v>
      </c>
      <c r="D76" s="10">
        <v>3</v>
      </c>
      <c r="E76" s="21">
        <v>61.7</v>
      </c>
      <c r="F76" s="22">
        <f t="shared" si="3"/>
        <v>11.106</v>
      </c>
      <c r="G76" s="22">
        <f t="shared" si="4"/>
        <v>72.805999999999997</v>
      </c>
      <c r="H76" s="22">
        <f t="shared" si="5"/>
        <v>218.41800000000001</v>
      </c>
      <c r="I76" s="23"/>
      <c r="J76" s="55"/>
    </row>
    <row r="77" spans="2:11" ht="15">
      <c r="B77" s="24" t="s">
        <v>135</v>
      </c>
      <c r="C77" s="9" t="s">
        <v>13</v>
      </c>
      <c r="D77" s="10">
        <v>22</v>
      </c>
      <c r="E77" s="21">
        <v>61.7</v>
      </c>
      <c r="F77" s="22">
        <f t="shared" si="3"/>
        <v>11.106</v>
      </c>
      <c r="G77" s="34">
        <f t="shared" si="4"/>
        <v>72.805999999999997</v>
      </c>
      <c r="H77" s="22">
        <f>G77*D77</f>
        <v>1601.732</v>
      </c>
      <c r="I77" s="23"/>
      <c r="J77" s="55"/>
    </row>
    <row r="78" spans="2:11" ht="15.75" thickBot="1">
      <c r="B78" s="70" t="s">
        <v>138</v>
      </c>
      <c r="C78" s="38" t="s">
        <v>13</v>
      </c>
      <c r="D78" s="39">
        <v>35</v>
      </c>
      <c r="E78" s="40">
        <v>120</v>
      </c>
      <c r="F78" s="41">
        <f t="shared" si="3"/>
        <v>21.599999999999998</v>
      </c>
      <c r="G78" s="85">
        <f t="shared" si="4"/>
        <v>141.6</v>
      </c>
      <c r="H78" s="42">
        <f t="shared" si="5"/>
        <v>4956</v>
      </c>
      <c r="I78" s="43"/>
      <c r="J78" s="55"/>
    </row>
    <row r="79" spans="2:11" ht="16.5" thickBot="1">
      <c r="B79" s="80" t="s">
        <v>149</v>
      </c>
      <c r="C79" s="86"/>
      <c r="D79" s="87"/>
      <c r="E79" s="88"/>
      <c r="F79" s="89">
        <f t="shared" si="3"/>
        <v>0</v>
      </c>
      <c r="G79" s="90"/>
      <c r="H79" s="91">
        <f>SUM(H7:H78)</f>
        <v>294554.65760000004</v>
      </c>
      <c r="I79" s="46"/>
      <c r="J79" s="55"/>
      <c r="K79" s="68"/>
    </row>
    <row r="80" spans="2:11" ht="15.75" customHeight="1">
      <c r="B80" s="57"/>
      <c r="C80" s="57"/>
      <c r="D80" s="57"/>
      <c r="E80" s="57"/>
      <c r="F80" s="57"/>
      <c r="G80" s="57"/>
      <c r="H80" s="57"/>
      <c r="I80" s="57"/>
      <c r="J80" s="55"/>
    </row>
    <row r="81" spans="2:9" ht="18.75" customHeight="1">
      <c r="B81" s="57"/>
      <c r="C81" s="57"/>
      <c r="D81" s="57"/>
      <c r="E81" s="57"/>
      <c r="F81" s="57"/>
      <c r="G81" s="57"/>
      <c r="H81" s="57"/>
      <c r="I81" s="57"/>
    </row>
  </sheetData>
  <mergeCells count="3">
    <mergeCell ref="B3:I3"/>
    <mergeCell ref="B4:I4"/>
    <mergeCell ref="B5:I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2EFB8-F0BE-4E4D-9A66-89FD918CFD73}">
  <dimension ref="B4:L28"/>
  <sheetViews>
    <sheetView topLeftCell="A9" workbookViewId="0">
      <selection activeCell="G17" sqref="G17"/>
    </sheetView>
  </sheetViews>
  <sheetFormatPr baseColWidth="10" defaultRowHeight="14.25"/>
  <cols>
    <col min="1" max="1" width="11.42578125" style="13"/>
    <col min="2" max="2" width="38" style="13" customWidth="1"/>
    <col min="3" max="3" width="13.42578125" style="13" bestFit="1" customWidth="1"/>
    <col min="4" max="4" width="10" style="13" customWidth="1"/>
    <col min="5" max="5" width="14.5703125" style="13" customWidth="1"/>
    <col min="6" max="6" width="10.42578125" style="13" hidden="1" customWidth="1"/>
    <col min="7" max="7" width="11.85546875" style="13" bestFit="1" customWidth="1"/>
    <col min="8" max="8" width="14.5703125" style="13" bestFit="1" customWidth="1"/>
    <col min="9" max="9" width="28.85546875" style="13" hidden="1" customWidth="1"/>
    <col min="10" max="11" width="11.42578125" style="13"/>
    <col min="12" max="12" width="12.7109375" style="13" bestFit="1" customWidth="1"/>
    <col min="13" max="16384" width="11.42578125" style="13"/>
  </cols>
  <sheetData>
    <row r="4" spans="2:12" ht="15.75">
      <c r="B4" s="275" t="s">
        <v>144</v>
      </c>
      <c r="C4" s="275"/>
      <c r="D4" s="275"/>
      <c r="E4" s="275"/>
      <c r="F4" s="275"/>
      <c r="G4" s="275"/>
      <c r="H4" s="275"/>
      <c r="I4" s="275"/>
    </row>
    <row r="5" spans="2:12" ht="16.5" thickBot="1">
      <c r="B5" s="276" t="s">
        <v>152</v>
      </c>
      <c r="C5" s="276"/>
      <c r="D5" s="276"/>
      <c r="E5" s="276"/>
      <c r="F5" s="276"/>
      <c r="G5" s="276"/>
      <c r="H5" s="276"/>
      <c r="I5" s="276"/>
    </row>
    <row r="6" spans="2:12" ht="16.5" thickBot="1">
      <c r="B6" s="277" t="s">
        <v>150</v>
      </c>
      <c r="C6" s="278"/>
      <c r="D6" s="278"/>
      <c r="E6" s="278"/>
      <c r="F6" s="278"/>
      <c r="G6" s="278"/>
      <c r="H6" s="278"/>
      <c r="I6" s="280"/>
    </row>
    <row r="7" spans="2:12" s="51" customFormat="1" ht="32.25" thickBot="1">
      <c r="B7" s="3" t="s">
        <v>0</v>
      </c>
      <c r="C7" s="48" t="s">
        <v>1</v>
      </c>
      <c r="D7" s="58" t="s">
        <v>2</v>
      </c>
      <c r="E7" s="58" t="s">
        <v>3</v>
      </c>
      <c r="F7" s="59" t="s">
        <v>4</v>
      </c>
      <c r="G7" s="58" t="s">
        <v>5</v>
      </c>
      <c r="H7" s="58" t="s">
        <v>6</v>
      </c>
      <c r="I7" s="50" t="s">
        <v>7</v>
      </c>
    </row>
    <row r="8" spans="2:12" ht="15">
      <c r="B8" s="18" t="s">
        <v>15</v>
      </c>
      <c r="C8" s="60" t="s">
        <v>13</v>
      </c>
      <c r="D8" s="19">
        <v>17</v>
      </c>
      <c r="E8" s="61">
        <v>265</v>
      </c>
      <c r="F8" s="61">
        <f t="shared" ref="F8:F26" si="0">E8*18%</f>
        <v>47.699999999999996</v>
      </c>
      <c r="G8" s="61">
        <f t="shared" ref="G8:G26" si="1">F8+E8</f>
        <v>312.7</v>
      </c>
      <c r="H8" s="61">
        <f>G8*D8</f>
        <v>5315.9</v>
      </c>
      <c r="I8" s="62"/>
      <c r="L8" s="63"/>
    </row>
    <row r="9" spans="2:12" ht="15">
      <c r="B9" s="64" t="s">
        <v>10</v>
      </c>
      <c r="C9" s="14" t="s">
        <v>11</v>
      </c>
      <c r="D9" s="15">
        <v>41</v>
      </c>
      <c r="E9" s="16">
        <v>150</v>
      </c>
      <c r="F9" s="16">
        <f t="shared" si="0"/>
        <v>27</v>
      </c>
      <c r="G9" s="16">
        <f t="shared" si="1"/>
        <v>177</v>
      </c>
      <c r="H9" s="16">
        <f t="shared" ref="H9:H26" si="2">G9*D9</f>
        <v>7257</v>
      </c>
      <c r="I9" s="17"/>
      <c r="L9" s="63"/>
    </row>
    <row r="10" spans="2:12" ht="15">
      <c r="B10" s="64" t="s">
        <v>12</v>
      </c>
      <c r="C10" s="14" t="s">
        <v>13</v>
      </c>
      <c r="D10" s="15">
        <v>25</v>
      </c>
      <c r="E10" s="16">
        <v>60</v>
      </c>
      <c r="F10" s="16">
        <v>0</v>
      </c>
      <c r="G10" s="16">
        <f t="shared" si="1"/>
        <v>60</v>
      </c>
      <c r="H10" s="16">
        <f t="shared" si="2"/>
        <v>1500</v>
      </c>
      <c r="I10" s="17"/>
      <c r="L10" s="63"/>
    </row>
    <row r="11" spans="2:12" ht="15">
      <c r="B11" s="64" t="s">
        <v>18</v>
      </c>
      <c r="C11" s="14" t="s">
        <v>13</v>
      </c>
      <c r="D11" s="15">
        <v>28</v>
      </c>
      <c r="E11" s="16">
        <v>350</v>
      </c>
      <c r="F11" s="16">
        <f t="shared" si="0"/>
        <v>63</v>
      </c>
      <c r="G11" s="16">
        <f t="shared" si="1"/>
        <v>413</v>
      </c>
      <c r="H11" s="16">
        <f t="shared" si="2"/>
        <v>11564</v>
      </c>
      <c r="I11" s="17"/>
      <c r="L11" s="63"/>
    </row>
    <row r="12" spans="2:12" ht="15">
      <c r="B12" s="64" t="s">
        <v>22</v>
      </c>
      <c r="C12" s="14" t="s">
        <v>13</v>
      </c>
      <c r="D12" s="15">
        <v>360</v>
      </c>
      <c r="E12" s="16">
        <v>256</v>
      </c>
      <c r="F12" s="16">
        <f t="shared" si="0"/>
        <v>46.08</v>
      </c>
      <c r="G12" s="16">
        <f t="shared" si="1"/>
        <v>302.08</v>
      </c>
      <c r="H12" s="16">
        <f t="shared" si="2"/>
        <v>108748.79999999999</v>
      </c>
      <c r="I12" s="17"/>
      <c r="L12" s="63"/>
    </row>
    <row r="13" spans="2:12" ht="15">
      <c r="B13" s="64" t="s">
        <v>39</v>
      </c>
      <c r="C13" s="14" t="s">
        <v>13</v>
      </c>
      <c r="D13" s="15">
        <v>3</v>
      </c>
      <c r="E13" s="16">
        <v>415</v>
      </c>
      <c r="F13" s="16">
        <f t="shared" si="0"/>
        <v>74.7</v>
      </c>
      <c r="G13" s="16">
        <f t="shared" si="1"/>
        <v>489.7</v>
      </c>
      <c r="H13" s="16">
        <f t="shared" si="2"/>
        <v>1469.1</v>
      </c>
      <c r="I13" s="17" t="s">
        <v>40</v>
      </c>
    </row>
    <row r="14" spans="2:12" ht="15">
      <c r="B14" s="64" t="s">
        <v>50</v>
      </c>
      <c r="C14" s="14" t="s">
        <v>29</v>
      </c>
      <c r="D14" s="15">
        <v>6</v>
      </c>
      <c r="E14" s="16">
        <v>220</v>
      </c>
      <c r="F14" s="16">
        <f t="shared" si="0"/>
        <v>39.6</v>
      </c>
      <c r="G14" s="16">
        <f t="shared" si="1"/>
        <v>259.60000000000002</v>
      </c>
      <c r="H14" s="16">
        <f t="shared" si="2"/>
        <v>1557.6000000000001</v>
      </c>
      <c r="I14" s="17"/>
    </row>
    <row r="15" spans="2:12" ht="15">
      <c r="B15" s="64" t="s">
        <v>51</v>
      </c>
      <c r="C15" s="14" t="s">
        <v>29</v>
      </c>
      <c r="D15" s="15">
        <v>6</v>
      </c>
      <c r="E15" s="16">
        <v>220</v>
      </c>
      <c r="F15" s="16">
        <f t="shared" si="0"/>
        <v>39.6</v>
      </c>
      <c r="G15" s="16">
        <f t="shared" si="1"/>
        <v>259.60000000000002</v>
      </c>
      <c r="H15" s="16">
        <f t="shared" si="2"/>
        <v>1557.6000000000001</v>
      </c>
      <c r="I15" s="17"/>
    </row>
    <row r="16" spans="2:12" ht="15">
      <c r="B16" s="64" t="s">
        <v>126</v>
      </c>
      <c r="C16" s="14" t="s">
        <v>13</v>
      </c>
      <c r="D16" s="15">
        <v>3</v>
      </c>
      <c r="E16" s="16">
        <v>520</v>
      </c>
      <c r="F16" s="16">
        <f t="shared" si="0"/>
        <v>93.6</v>
      </c>
      <c r="G16" s="16">
        <f t="shared" si="1"/>
        <v>613.6</v>
      </c>
      <c r="H16" s="16">
        <f t="shared" si="2"/>
        <v>1840.8000000000002</v>
      </c>
      <c r="I16" s="17" t="s">
        <v>127</v>
      </c>
    </row>
    <row r="17" spans="2:12" ht="15">
      <c r="B17" s="64" t="s">
        <v>128</v>
      </c>
      <c r="C17" s="33" t="s">
        <v>31</v>
      </c>
      <c r="D17" s="15">
        <v>38</v>
      </c>
      <c r="E17" s="16">
        <v>228</v>
      </c>
      <c r="F17" s="16">
        <f t="shared" si="0"/>
        <v>41.04</v>
      </c>
      <c r="G17" s="16">
        <f t="shared" si="1"/>
        <v>269.04000000000002</v>
      </c>
      <c r="H17" s="16">
        <f t="shared" si="2"/>
        <v>10223.52</v>
      </c>
      <c r="I17" s="17"/>
    </row>
    <row r="18" spans="2:12" ht="15">
      <c r="B18" s="64" t="s">
        <v>129</v>
      </c>
      <c r="C18" s="33" t="s">
        <v>31</v>
      </c>
      <c r="D18" s="15">
        <v>2</v>
      </c>
      <c r="E18" s="16">
        <v>228</v>
      </c>
      <c r="F18" s="16">
        <f t="shared" si="0"/>
        <v>41.04</v>
      </c>
      <c r="G18" s="16">
        <f t="shared" si="1"/>
        <v>269.04000000000002</v>
      </c>
      <c r="H18" s="16">
        <f t="shared" si="2"/>
        <v>538.08000000000004</v>
      </c>
      <c r="I18" s="17"/>
    </row>
    <row r="19" spans="2:12" ht="15">
      <c r="B19" s="64" t="s">
        <v>130</v>
      </c>
      <c r="C19" s="33" t="s">
        <v>31</v>
      </c>
      <c r="D19" s="15">
        <v>8</v>
      </c>
      <c r="E19" s="16">
        <v>228</v>
      </c>
      <c r="F19" s="16">
        <f t="shared" si="0"/>
        <v>41.04</v>
      </c>
      <c r="G19" s="16">
        <f t="shared" si="1"/>
        <v>269.04000000000002</v>
      </c>
      <c r="H19" s="16">
        <f t="shared" si="2"/>
        <v>2152.3200000000002</v>
      </c>
      <c r="I19" s="17"/>
    </row>
    <row r="20" spans="2:12" ht="15">
      <c r="B20" s="64" t="s">
        <v>131</v>
      </c>
      <c r="C20" s="33" t="s">
        <v>31</v>
      </c>
      <c r="D20" s="15">
        <v>2</v>
      </c>
      <c r="E20" s="16">
        <v>228</v>
      </c>
      <c r="F20" s="16">
        <f t="shared" si="0"/>
        <v>41.04</v>
      </c>
      <c r="G20" s="16">
        <f t="shared" si="1"/>
        <v>269.04000000000002</v>
      </c>
      <c r="H20" s="16">
        <f t="shared" si="2"/>
        <v>538.08000000000004</v>
      </c>
      <c r="I20" s="17"/>
    </row>
    <row r="21" spans="2:12" ht="15">
      <c r="B21" s="64" t="s">
        <v>132</v>
      </c>
      <c r="C21" s="33" t="s">
        <v>31</v>
      </c>
      <c r="D21" s="15">
        <v>9</v>
      </c>
      <c r="E21" s="16">
        <v>228</v>
      </c>
      <c r="F21" s="16">
        <f t="shared" si="0"/>
        <v>41.04</v>
      </c>
      <c r="G21" s="16">
        <f t="shared" si="1"/>
        <v>269.04000000000002</v>
      </c>
      <c r="H21" s="16">
        <f t="shared" si="2"/>
        <v>2421.36</v>
      </c>
      <c r="I21" s="17"/>
    </row>
    <row r="22" spans="2:12" ht="15">
      <c r="B22" s="64" t="s">
        <v>148</v>
      </c>
      <c r="C22" s="33" t="s">
        <v>31</v>
      </c>
      <c r="D22" s="15">
        <v>8</v>
      </c>
      <c r="E22" s="16">
        <v>228</v>
      </c>
      <c r="F22" s="16"/>
      <c r="G22" s="16">
        <f t="shared" si="1"/>
        <v>228</v>
      </c>
      <c r="H22" s="16">
        <f t="shared" si="2"/>
        <v>1824</v>
      </c>
      <c r="I22" s="17"/>
    </row>
    <row r="23" spans="2:12" ht="15">
      <c r="B23" s="64" t="s">
        <v>147</v>
      </c>
      <c r="C23" s="33" t="s">
        <v>31</v>
      </c>
      <c r="D23" s="15">
        <v>11</v>
      </c>
      <c r="E23" s="16">
        <v>228</v>
      </c>
      <c r="F23" s="16"/>
      <c r="G23" s="16">
        <f t="shared" si="1"/>
        <v>228</v>
      </c>
      <c r="H23" s="16">
        <f t="shared" si="2"/>
        <v>2508</v>
      </c>
      <c r="I23" s="17"/>
    </row>
    <row r="24" spans="2:12" ht="15">
      <c r="B24" s="64" t="s">
        <v>157</v>
      </c>
      <c r="C24" s="33" t="s">
        <v>31</v>
      </c>
      <c r="D24" s="15">
        <v>28</v>
      </c>
      <c r="E24" s="16">
        <v>228</v>
      </c>
      <c r="F24" s="16">
        <f t="shared" si="0"/>
        <v>41.04</v>
      </c>
      <c r="G24" s="16">
        <f t="shared" si="1"/>
        <v>269.04000000000002</v>
      </c>
      <c r="H24" s="16">
        <f t="shared" si="2"/>
        <v>7533.1200000000008</v>
      </c>
      <c r="I24" s="17"/>
    </row>
    <row r="25" spans="2:12" ht="15">
      <c r="B25" s="64" t="s">
        <v>136</v>
      </c>
      <c r="C25" s="33" t="s">
        <v>31</v>
      </c>
      <c r="D25" s="15">
        <v>5</v>
      </c>
      <c r="E25" s="16">
        <v>3100</v>
      </c>
      <c r="F25" s="16">
        <f t="shared" si="0"/>
        <v>558</v>
      </c>
      <c r="G25" s="35">
        <f t="shared" si="1"/>
        <v>3658</v>
      </c>
      <c r="H25" s="16">
        <f t="shared" si="2"/>
        <v>18290</v>
      </c>
      <c r="I25" s="17" t="s">
        <v>86</v>
      </c>
    </row>
    <row r="26" spans="2:12" ht="15.75" thickBot="1">
      <c r="B26" s="75" t="s">
        <v>137</v>
      </c>
      <c r="C26" s="76" t="s">
        <v>31</v>
      </c>
      <c r="D26" s="77">
        <v>4</v>
      </c>
      <c r="E26" s="35">
        <v>3100</v>
      </c>
      <c r="F26" s="36">
        <f t="shared" si="0"/>
        <v>558</v>
      </c>
      <c r="G26" s="78">
        <f t="shared" si="1"/>
        <v>3658</v>
      </c>
      <c r="H26" s="37">
        <f t="shared" si="2"/>
        <v>14632</v>
      </c>
      <c r="I26" s="17" t="s">
        <v>86</v>
      </c>
    </row>
    <row r="27" spans="2:12" ht="16.5" thickBot="1">
      <c r="B27" s="80" t="s">
        <v>149</v>
      </c>
      <c r="C27" s="81"/>
      <c r="D27" s="81"/>
      <c r="E27" s="82"/>
      <c r="F27" s="83"/>
      <c r="G27" s="82"/>
      <c r="H27" s="84">
        <f>SUM(H8:H26)</f>
        <v>201471.27999999994</v>
      </c>
      <c r="I27" s="65"/>
      <c r="L27" s="68"/>
    </row>
    <row r="28" spans="2:12" ht="16.5" thickBot="1">
      <c r="B28" s="66"/>
      <c r="C28" s="67"/>
      <c r="D28" s="67"/>
      <c r="E28" s="45"/>
      <c r="F28" s="79"/>
      <c r="G28" s="45"/>
      <c r="H28" s="45"/>
      <c r="I28" s="2"/>
    </row>
  </sheetData>
  <mergeCells count="3">
    <mergeCell ref="B4:I4"/>
    <mergeCell ref="B5:I5"/>
    <mergeCell ref="B6:I6"/>
  </mergeCells>
  <phoneticPr fontId="1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8E6A-1B83-4FB2-89E2-D0C7FEFE0200}">
  <dimension ref="B4:I50"/>
  <sheetViews>
    <sheetView topLeftCell="A33" workbookViewId="0">
      <selection activeCell="H51" sqref="H51"/>
    </sheetView>
  </sheetViews>
  <sheetFormatPr baseColWidth="10" defaultRowHeight="14.25"/>
  <cols>
    <col min="1" max="1" width="11.42578125" style="13"/>
    <col min="2" max="2" width="45.7109375" style="13" bestFit="1" customWidth="1"/>
    <col min="3" max="5" width="12.7109375" style="13" customWidth="1"/>
    <col min="6" max="6" width="11.42578125" style="13" hidden="1" customWidth="1"/>
    <col min="7" max="7" width="12.7109375" style="13" customWidth="1"/>
    <col min="8" max="8" width="15" style="13" customWidth="1"/>
    <col min="9" max="9" width="0.7109375" style="13" hidden="1" customWidth="1"/>
    <col min="10" max="16384" width="11.42578125" style="13"/>
  </cols>
  <sheetData>
    <row r="4" spans="2:9" ht="15">
      <c r="B4" s="281" t="s">
        <v>142</v>
      </c>
      <c r="C4" s="281"/>
      <c r="D4" s="281"/>
      <c r="E4" s="281"/>
      <c r="F4" s="281"/>
      <c r="G4" s="281"/>
      <c r="H4" s="281"/>
      <c r="I4" s="281"/>
    </row>
    <row r="5" spans="2:9" s="47" customFormat="1" ht="15.75" thickBot="1">
      <c r="B5" s="282" t="s">
        <v>151</v>
      </c>
      <c r="C5" s="282"/>
      <c r="D5" s="282"/>
      <c r="E5" s="282"/>
      <c r="F5" s="282"/>
      <c r="G5" s="282"/>
      <c r="H5" s="282"/>
      <c r="I5" s="282"/>
    </row>
    <row r="6" spans="2:9" ht="15.75" customHeight="1" thickBot="1">
      <c r="B6" s="277" t="s">
        <v>150</v>
      </c>
      <c r="C6" s="278"/>
      <c r="D6" s="279"/>
      <c r="E6" s="278"/>
      <c r="F6" s="278"/>
      <c r="G6" s="279"/>
      <c r="H6" s="278"/>
      <c r="I6" s="280"/>
    </row>
    <row r="7" spans="2:9" s="51" customFormat="1" ht="30.75" customHeight="1" thickBot="1">
      <c r="B7" s="3" t="s">
        <v>0</v>
      </c>
      <c r="C7" s="4" t="s">
        <v>1</v>
      </c>
      <c r="D7" s="5" t="s">
        <v>2</v>
      </c>
      <c r="E7" s="48" t="s">
        <v>3</v>
      </c>
      <c r="F7" s="49" t="s">
        <v>4</v>
      </c>
      <c r="G7" s="5" t="s">
        <v>5</v>
      </c>
      <c r="H7" s="48" t="s">
        <v>6</v>
      </c>
      <c r="I7" s="50" t="s">
        <v>7</v>
      </c>
    </row>
    <row r="8" spans="2:9" ht="15">
      <c r="B8" s="52" t="s">
        <v>8</v>
      </c>
      <c r="C8" s="9" t="s">
        <v>9</v>
      </c>
      <c r="D8" s="10">
        <v>6</v>
      </c>
      <c r="E8" s="11">
        <v>700</v>
      </c>
      <c r="F8" s="11">
        <f t="shared" ref="F8:F46" si="0">+E8*18%</f>
        <v>126</v>
      </c>
      <c r="G8" s="11">
        <f t="shared" ref="G8:G46" si="1">F8+E8</f>
        <v>826</v>
      </c>
      <c r="H8" s="11">
        <f>G8*D8</f>
        <v>4956</v>
      </c>
      <c r="I8" s="12"/>
    </row>
    <row r="9" spans="2:9" ht="15">
      <c r="B9" s="52" t="s">
        <v>160</v>
      </c>
      <c r="C9" s="9" t="s">
        <v>13</v>
      </c>
      <c r="D9" s="10">
        <v>2</v>
      </c>
      <c r="E9" s="11">
        <v>3450</v>
      </c>
      <c r="F9" s="11">
        <f t="shared" si="0"/>
        <v>621</v>
      </c>
      <c r="G9" s="11">
        <f t="shared" si="1"/>
        <v>4071</v>
      </c>
      <c r="H9" s="11">
        <f t="shared" ref="H9:H46" si="2">G9*D9</f>
        <v>8142</v>
      </c>
      <c r="I9" s="12"/>
    </row>
    <row r="10" spans="2:9" ht="15">
      <c r="B10" s="52" t="s">
        <v>161</v>
      </c>
      <c r="C10" s="9" t="s">
        <v>13</v>
      </c>
      <c r="D10" s="10">
        <v>2</v>
      </c>
      <c r="E10" s="11">
        <v>1150</v>
      </c>
      <c r="F10" s="11">
        <f t="shared" si="0"/>
        <v>207</v>
      </c>
      <c r="G10" s="11">
        <f t="shared" si="1"/>
        <v>1357</v>
      </c>
      <c r="H10" s="11">
        <f t="shared" si="2"/>
        <v>2714</v>
      </c>
      <c r="I10" s="12"/>
    </row>
    <row r="11" spans="2:9" ht="15">
      <c r="B11" s="24" t="s">
        <v>162</v>
      </c>
      <c r="C11" s="9" t="s">
        <v>163</v>
      </c>
      <c r="D11" s="10">
        <v>12</v>
      </c>
      <c r="E11" s="11">
        <v>110</v>
      </c>
      <c r="F11" s="11">
        <f t="shared" si="0"/>
        <v>19.8</v>
      </c>
      <c r="G11" s="11">
        <f t="shared" si="1"/>
        <v>129.80000000000001</v>
      </c>
      <c r="H11" s="11">
        <f t="shared" si="2"/>
        <v>1557.6000000000001</v>
      </c>
      <c r="I11" s="12"/>
    </row>
    <row r="12" spans="2:9" ht="15">
      <c r="B12" s="24" t="s">
        <v>43</v>
      </c>
      <c r="C12" s="9" t="s">
        <v>14</v>
      </c>
      <c r="D12" s="10">
        <v>7</v>
      </c>
      <c r="E12" s="11">
        <v>425</v>
      </c>
      <c r="F12" s="11">
        <f t="shared" si="0"/>
        <v>76.5</v>
      </c>
      <c r="G12" s="11">
        <f t="shared" si="1"/>
        <v>501.5</v>
      </c>
      <c r="H12" s="11">
        <f t="shared" si="2"/>
        <v>3510.5</v>
      </c>
      <c r="I12" s="12"/>
    </row>
    <row r="13" spans="2:9" ht="15">
      <c r="B13" s="24" t="s">
        <v>169</v>
      </c>
      <c r="C13" s="9" t="s">
        <v>13</v>
      </c>
      <c r="D13" s="10">
        <v>30</v>
      </c>
      <c r="E13" s="11">
        <v>185</v>
      </c>
      <c r="F13" s="11">
        <f t="shared" si="0"/>
        <v>33.299999999999997</v>
      </c>
      <c r="G13" s="11">
        <f t="shared" si="1"/>
        <v>218.3</v>
      </c>
      <c r="H13" s="11">
        <f t="shared" si="2"/>
        <v>6549</v>
      </c>
      <c r="I13" s="12"/>
    </row>
    <row r="14" spans="2:9" ht="15">
      <c r="B14" s="24" t="s">
        <v>19</v>
      </c>
      <c r="C14" s="9" t="s">
        <v>13</v>
      </c>
      <c r="D14" s="10">
        <v>41</v>
      </c>
      <c r="E14" s="11">
        <v>25</v>
      </c>
      <c r="F14" s="11">
        <f t="shared" si="0"/>
        <v>4.5</v>
      </c>
      <c r="G14" s="11">
        <f t="shared" si="1"/>
        <v>29.5</v>
      </c>
      <c r="H14" s="11">
        <f t="shared" si="2"/>
        <v>1209.5</v>
      </c>
      <c r="I14" s="12"/>
    </row>
    <row r="15" spans="2:9" ht="15">
      <c r="B15" s="24" t="s">
        <v>20</v>
      </c>
      <c r="C15" s="9" t="s">
        <v>13</v>
      </c>
      <c r="D15" s="10">
        <v>2</v>
      </c>
      <c r="E15" s="11">
        <v>15</v>
      </c>
      <c r="F15" s="11">
        <f t="shared" si="0"/>
        <v>2.6999999999999997</v>
      </c>
      <c r="G15" s="11">
        <f t="shared" si="1"/>
        <v>17.7</v>
      </c>
      <c r="H15" s="11">
        <f t="shared" si="2"/>
        <v>35.4</v>
      </c>
      <c r="I15" s="12"/>
    </row>
    <row r="16" spans="2:9" ht="15">
      <c r="B16" s="24" t="s">
        <v>27</v>
      </c>
      <c r="C16" s="9" t="s">
        <v>13</v>
      </c>
      <c r="D16" s="10">
        <v>17</v>
      </c>
      <c r="E16" s="11">
        <v>55</v>
      </c>
      <c r="F16" s="11">
        <f t="shared" si="0"/>
        <v>9.9</v>
      </c>
      <c r="G16" s="11">
        <f t="shared" si="1"/>
        <v>64.900000000000006</v>
      </c>
      <c r="H16" s="11">
        <f t="shared" si="2"/>
        <v>1103.3000000000002</v>
      </c>
      <c r="I16" s="12"/>
    </row>
    <row r="17" spans="2:9" ht="15">
      <c r="B17" s="24" t="s">
        <v>36</v>
      </c>
      <c r="C17" s="9" t="s">
        <v>9</v>
      </c>
      <c r="D17" s="10">
        <v>87</v>
      </c>
      <c r="E17" s="11">
        <v>55</v>
      </c>
      <c r="F17" s="11">
        <f t="shared" si="0"/>
        <v>9.9</v>
      </c>
      <c r="G17" s="11">
        <f t="shared" si="1"/>
        <v>64.900000000000006</v>
      </c>
      <c r="H17" s="11">
        <f t="shared" si="2"/>
        <v>5646.3</v>
      </c>
      <c r="I17" s="12"/>
    </row>
    <row r="18" spans="2:9" ht="15">
      <c r="B18" s="24" t="s">
        <v>167</v>
      </c>
      <c r="C18" s="9" t="s">
        <v>163</v>
      </c>
      <c r="D18" s="10">
        <v>1</v>
      </c>
      <c r="E18" s="11">
        <v>4950</v>
      </c>
      <c r="F18" s="11">
        <f t="shared" si="0"/>
        <v>891</v>
      </c>
      <c r="G18" s="11">
        <f t="shared" si="1"/>
        <v>5841</v>
      </c>
      <c r="H18" s="11">
        <f t="shared" si="2"/>
        <v>5841</v>
      </c>
      <c r="I18" s="12"/>
    </row>
    <row r="19" spans="2:9" ht="15">
      <c r="B19" s="24" t="s">
        <v>41</v>
      </c>
      <c r="C19" s="9" t="s">
        <v>13</v>
      </c>
      <c r="D19" s="10">
        <v>4</v>
      </c>
      <c r="E19" s="11">
        <v>175</v>
      </c>
      <c r="F19" s="11">
        <f t="shared" si="0"/>
        <v>31.5</v>
      </c>
      <c r="G19" s="11">
        <f t="shared" si="1"/>
        <v>206.5</v>
      </c>
      <c r="H19" s="11">
        <f t="shared" si="2"/>
        <v>826</v>
      </c>
      <c r="I19" s="12"/>
    </row>
    <row r="20" spans="2:9" ht="15">
      <c r="B20" s="24" t="s">
        <v>42</v>
      </c>
      <c r="C20" s="9" t="s">
        <v>9</v>
      </c>
      <c r="D20" s="10">
        <v>33</v>
      </c>
      <c r="E20" s="11">
        <v>110</v>
      </c>
      <c r="F20" s="11">
        <f t="shared" si="0"/>
        <v>19.8</v>
      </c>
      <c r="G20" s="11">
        <f t="shared" si="1"/>
        <v>129.80000000000001</v>
      </c>
      <c r="H20" s="11">
        <f t="shared" si="2"/>
        <v>4283.4000000000005</v>
      </c>
      <c r="I20" s="12"/>
    </row>
    <row r="21" spans="2:9" ht="15">
      <c r="B21" s="24" t="s">
        <v>44</v>
      </c>
      <c r="C21" s="9" t="s">
        <v>29</v>
      </c>
      <c r="D21" s="10">
        <v>6</v>
      </c>
      <c r="E21" s="11">
        <v>65</v>
      </c>
      <c r="F21" s="11">
        <f t="shared" si="0"/>
        <v>11.7</v>
      </c>
      <c r="G21" s="11">
        <f t="shared" si="1"/>
        <v>76.7</v>
      </c>
      <c r="H21" s="11">
        <f t="shared" si="2"/>
        <v>460.20000000000005</v>
      </c>
      <c r="I21" s="12" t="s">
        <v>45</v>
      </c>
    </row>
    <row r="22" spans="2:9" ht="15">
      <c r="B22" s="24" t="s">
        <v>47</v>
      </c>
      <c r="C22" s="9" t="s">
        <v>13</v>
      </c>
      <c r="D22" s="10">
        <v>23</v>
      </c>
      <c r="E22" s="11">
        <v>125</v>
      </c>
      <c r="F22" s="11">
        <f t="shared" si="0"/>
        <v>22.5</v>
      </c>
      <c r="G22" s="11">
        <f t="shared" si="1"/>
        <v>147.5</v>
      </c>
      <c r="H22" s="11">
        <f t="shared" si="2"/>
        <v>3392.5</v>
      </c>
      <c r="I22" s="12"/>
    </row>
    <row r="23" spans="2:9" ht="15">
      <c r="B23" s="24" t="s">
        <v>55</v>
      </c>
      <c r="C23" s="9" t="s">
        <v>29</v>
      </c>
      <c r="D23" s="10">
        <v>88</v>
      </c>
      <c r="E23" s="11">
        <v>425</v>
      </c>
      <c r="F23" s="11">
        <f t="shared" si="0"/>
        <v>76.5</v>
      </c>
      <c r="G23" s="11">
        <f t="shared" si="1"/>
        <v>501.5</v>
      </c>
      <c r="H23" s="11">
        <f t="shared" si="2"/>
        <v>44132</v>
      </c>
      <c r="I23" s="12"/>
    </row>
    <row r="24" spans="2:9" ht="15">
      <c r="B24" s="24" t="s">
        <v>156</v>
      </c>
      <c r="C24" s="9" t="s">
        <v>29</v>
      </c>
      <c r="D24" s="10">
        <v>1</v>
      </c>
      <c r="E24" s="11">
        <v>700</v>
      </c>
      <c r="F24" s="11">
        <f t="shared" si="0"/>
        <v>126</v>
      </c>
      <c r="G24" s="11">
        <f t="shared" si="1"/>
        <v>826</v>
      </c>
      <c r="H24" s="11">
        <f t="shared" si="2"/>
        <v>826</v>
      </c>
      <c r="I24" s="12"/>
    </row>
    <row r="25" spans="2:9" ht="15">
      <c r="B25" s="24" t="s">
        <v>158</v>
      </c>
      <c r="C25" s="9" t="s">
        <v>29</v>
      </c>
      <c r="D25" s="10">
        <v>5</v>
      </c>
      <c r="E25" s="11">
        <v>95</v>
      </c>
      <c r="F25" s="11">
        <f t="shared" si="0"/>
        <v>17.099999999999998</v>
      </c>
      <c r="G25" s="11">
        <f t="shared" si="1"/>
        <v>112.1</v>
      </c>
      <c r="H25" s="11">
        <f t="shared" si="2"/>
        <v>560.5</v>
      </c>
      <c r="I25" s="12"/>
    </row>
    <row r="26" spans="2:9" ht="15">
      <c r="B26" s="24" t="s">
        <v>56</v>
      </c>
      <c r="C26" s="9" t="s">
        <v>29</v>
      </c>
      <c r="D26" s="10">
        <v>3</v>
      </c>
      <c r="E26" s="11">
        <v>16.41</v>
      </c>
      <c r="F26" s="11">
        <f t="shared" si="0"/>
        <v>2.9537999999999998</v>
      </c>
      <c r="G26" s="11">
        <f t="shared" si="1"/>
        <v>19.363800000000001</v>
      </c>
      <c r="H26" s="11">
        <f t="shared" si="2"/>
        <v>58.091400000000007</v>
      </c>
      <c r="I26" s="12"/>
    </row>
    <row r="27" spans="2:9" ht="15">
      <c r="B27" s="24" t="s">
        <v>159</v>
      </c>
      <c r="C27" s="9" t="s">
        <v>31</v>
      </c>
      <c r="D27" s="10">
        <v>2</v>
      </c>
      <c r="E27" s="11">
        <v>375</v>
      </c>
      <c r="F27" s="11">
        <f t="shared" si="0"/>
        <v>67.5</v>
      </c>
      <c r="G27" s="11">
        <f t="shared" si="1"/>
        <v>442.5</v>
      </c>
      <c r="H27" s="11">
        <f t="shared" si="2"/>
        <v>885</v>
      </c>
      <c r="I27" s="12"/>
    </row>
    <row r="28" spans="2:9" ht="15">
      <c r="B28" s="24" t="s">
        <v>59</v>
      </c>
      <c r="C28" s="9" t="s">
        <v>9</v>
      </c>
      <c r="D28" s="10">
        <v>28</v>
      </c>
      <c r="E28" s="11">
        <v>700</v>
      </c>
      <c r="F28" s="11">
        <f t="shared" si="0"/>
        <v>126</v>
      </c>
      <c r="G28" s="11">
        <f t="shared" si="1"/>
        <v>826</v>
      </c>
      <c r="H28" s="11">
        <f t="shared" si="2"/>
        <v>23128</v>
      </c>
      <c r="I28" s="12"/>
    </row>
    <row r="29" spans="2:9" ht="15">
      <c r="B29" s="24" t="s">
        <v>168</v>
      </c>
      <c r="C29" s="9" t="s">
        <v>13</v>
      </c>
      <c r="D29" s="10">
        <v>15</v>
      </c>
      <c r="E29" s="11">
        <v>98</v>
      </c>
      <c r="F29" s="11">
        <f t="shared" si="0"/>
        <v>17.64</v>
      </c>
      <c r="G29" s="11">
        <f t="shared" si="1"/>
        <v>115.64</v>
      </c>
      <c r="H29" s="11">
        <f t="shared" si="2"/>
        <v>1734.6</v>
      </c>
      <c r="I29" s="12"/>
    </row>
    <row r="30" spans="2:9" ht="15">
      <c r="B30" s="24" t="s">
        <v>65</v>
      </c>
      <c r="C30" s="9" t="s">
        <v>13</v>
      </c>
      <c r="D30" s="10">
        <v>25</v>
      </c>
      <c r="E30" s="11">
        <v>67</v>
      </c>
      <c r="F30" s="11">
        <f t="shared" si="0"/>
        <v>12.059999999999999</v>
      </c>
      <c r="G30" s="11">
        <f t="shared" si="1"/>
        <v>79.06</v>
      </c>
      <c r="H30" s="11">
        <f t="shared" si="2"/>
        <v>1976.5</v>
      </c>
      <c r="I30" s="28" t="s">
        <v>66</v>
      </c>
    </row>
    <row r="31" spans="2:9" ht="15">
      <c r="B31" s="24" t="s">
        <v>68</v>
      </c>
      <c r="C31" s="9" t="s">
        <v>9</v>
      </c>
      <c r="D31" s="10">
        <v>36</v>
      </c>
      <c r="E31" s="11">
        <v>110</v>
      </c>
      <c r="F31" s="11">
        <f t="shared" si="0"/>
        <v>19.8</v>
      </c>
      <c r="G31" s="11">
        <f t="shared" si="1"/>
        <v>129.80000000000001</v>
      </c>
      <c r="H31" s="11">
        <f t="shared" si="2"/>
        <v>4672.8</v>
      </c>
      <c r="I31" s="12"/>
    </row>
    <row r="32" spans="2:9" ht="15">
      <c r="B32" s="24" t="s">
        <v>71</v>
      </c>
      <c r="C32" s="9" t="s">
        <v>13</v>
      </c>
      <c r="D32" s="10">
        <v>60</v>
      </c>
      <c r="E32" s="11">
        <v>50</v>
      </c>
      <c r="F32" s="11">
        <f t="shared" si="0"/>
        <v>9</v>
      </c>
      <c r="G32" s="11">
        <f t="shared" si="1"/>
        <v>59</v>
      </c>
      <c r="H32" s="11">
        <f t="shared" si="2"/>
        <v>3540</v>
      </c>
      <c r="I32" s="12"/>
    </row>
    <row r="33" spans="2:9" ht="15">
      <c r="B33" s="24" t="s">
        <v>76</v>
      </c>
      <c r="C33" s="9" t="s">
        <v>9</v>
      </c>
      <c r="D33" s="10">
        <v>80</v>
      </c>
      <c r="E33" s="11">
        <v>130</v>
      </c>
      <c r="F33" s="11">
        <f t="shared" si="0"/>
        <v>23.4</v>
      </c>
      <c r="G33" s="11">
        <f t="shared" si="1"/>
        <v>153.4</v>
      </c>
      <c r="H33" s="11">
        <f t="shared" si="2"/>
        <v>12272</v>
      </c>
      <c r="I33" s="12"/>
    </row>
    <row r="34" spans="2:9" ht="15">
      <c r="B34" s="24" t="s">
        <v>165</v>
      </c>
      <c r="C34" s="9" t="s">
        <v>166</v>
      </c>
      <c r="D34" s="10">
        <v>8</v>
      </c>
      <c r="E34" s="11">
        <v>195</v>
      </c>
      <c r="F34" s="11">
        <f t="shared" si="0"/>
        <v>35.1</v>
      </c>
      <c r="G34" s="11">
        <f t="shared" si="1"/>
        <v>230.1</v>
      </c>
      <c r="H34" s="11">
        <f t="shared" si="2"/>
        <v>1840.8</v>
      </c>
      <c r="I34" s="12"/>
    </row>
    <row r="35" spans="2:9" ht="15">
      <c r="B35" s="24" t="s">
        <v>81</v>
      </c>
      <c r="C35" s="9" t="s">
        <v>9</v>
      </c>
      <c r="D35" s="10">
        <v>1</v>
      </c>
      <c r="E35" s="11">
        <v>120</v>
      </c>
      <c r="F35" s="11">
        <f t="shared" si="0"/>
        <v>21.599999999999998</v>
      </c>
      <c r="G35" s="11">
        <f t="shared" si="1"/>
        <v>141.6</v>
      </c>
      <c r="H35" s="11">
        <f t="shared" si="2"/>
        <v>141.6</v>
      </c>
      <c r="I35" s="12"/>
    </row>
    <row r="36" spans="2:9" ht="15">
      <c r="B36" s="24" t="s">
        <v>85</v>
      </c>
      <c r="C36" s="9" t="s">
        <v>29</v>
      </c>
      <c r="D36" s="10">
        <v>23</v>
      </c>
      <c r="E36" s="11">
        <v>230</v>
      </c>
      <c r="F36" s="11">
        <f t="shared" si="0"/>
        <v>41.4</v>
      </c>
      <c r="G36" s="11">
        <f t="shared" si="1"/>
        <v>271.39999999999998</v>
      </c>
      <c r="H36" s="11">
        <f t="shared" si="2"/>
        <v>6242.2</v>
      </c>
      <c r="I36" s="12" t="s">
        <v>86</v>
      </c>
    </row>
    <row r="37" spans="2:9" ht="15">
      <c r="B37" s="24" t="s">
        <v>92</v>
      </c>
      <c r="C37" s="9" t="s">
        <v>29</v>
      </c>
      <c r="D37" s="10">
        <v>14</v>
      </c>
      <c r="E37" s="11">
        <v>675</v>
      </c>
      <c r="F37" s="11">
        <f t="shared" si="0"/>
        <v>121.5</v>
      </c>
      <c r="G37" s="11">
        <f t="shared" si="1"/>
        <v>796.5</v>
      </c>
      <c r="H37" s="11">
        <f t="shared" si="2"/>
        <v>11151</v>
      </c>
      <c r="I37" s="12"/>
    </row>
    <row r="38" spans="2:9" ht="15">
      <c r="B38" s="24" t="s">
        <v>87</v>
      </c>
      <c r="C38" s="9" t="s">
        <v>13</v>
      </c>
      <c r="D38" s="10">
        <v>27</v>
      </c>
      <c r="E38" s="11">
        <v>90</v>
      </c>
      <c r="F38" s="11">
        <f t="shared" si="0"/>
        <v>16.2</v>
      </c>
      <c r="G38" s="11">
        <f t="shared" si="1"/>
        <v>106.2</v>
      </c>
      <c r="H38" s="11">
        <f t="shared" si="2"/>
        <v>2867.4</v>
      </c>
      <c r="I38" s="12"/>
    </row>
    <row r="39" spans="2:9" ht="15">
      <c r="B39" s="24" t="s">
        <v>91</v>
      </c>
      <c r="C39" s="9" t="s">
        <v>11</v>
      </c>
      <c r="D39" s="10">
        <v>33</v>
      </c>
      <c r="E39" s="11">
        <v>1525</v>
      </c>
      <c r="F39" s="11">
        <f t="shared" si="0"/>
        <v>274.5</v>
      </c>
      <c r="G39" s="11">
        <f t="shared" si="1"/>
        <v>1799.5</v>
      </c>
      <c r="H39" s="11">
        <f t="shared" si="2"/>
        <v>59383.5</v>
      </c>
      <c r="I39" s="12"/>
    </row>
    <row r="40" spans="2:9" ht="15">
      <c r="B40" s="24" t="s">
        <v>111</v>
      </c>
      <c r="C40" s="9" t="s">
        <v>29</v>
      </c>
      <c r="D40" s="30">
        <v>20</v>
      </c>
      <c r="E40" s="11">
        <v>1150</v>
      </c>
      <c r="F40" s="11">
        <f t="shared" si="0"/>
        <v>207</v>
      </c>
      <c r="G40" s="11">
        <f t="shared" si="1"/>
        <v>1357</v>
      </c>
      <c r="H40" s="11">
        <f t="shared" si="2"/>
        <v>27140</v>
      </c>
      <c r="I40" s="12" t="s">
        <v>112</v>
      </c>
    </row>
    <row r="41" spans="2:9" ht="15">
      <c r="B41" s="24" t="s">
        <v>113</v>
      </c>
      <c r="C41" s="9" t="s">
        <v>29</v>
      </c>
      <c r="D41" s="30">
        <v>4</v>
      </c>
      <c r="E41" s="11">
        <v>125</v>
      </c>
      <c r="F41" s="11">
        <f t="shared" si="0"/>
        <v>22.5</v>
      </c>
      <c r="G41" s="11">
        <f t="shared" si="1"/>
        <v>147.5</v>
      </c>
      <c r="H41" s="11">
        <f t="shared" si="2"/>
        <v>590</v>
      </c>
      <c r="I41" s="12"/>
    </row>
    <row r="42" spans="2:9" ht="15">
      <c r="B42" s="24" t="s">
        <v>120</v>
      </c>
      <c r="C42" s="9" t="s">
        <v>13</v>
      </c>
      <c r="D42" s="30">
        <v>6</v>
      </c>
      <c r="E42" s="11">
        <v>750</v>
      </c>
      <c r="F42" s="11">
        <f t="shared" si="0"/>
        <v>135</v>
      </c>
      <c r="G42" s="11">
        <f t="shared" si="1"/>
        <v>885</v>
      </c>
      <c r="H42" s="11">
        <f t="shared" si="2"/>
        <v>5310</v>
      </c>
      <c r="I42" s="12"/>
    </row>
    <row r="43" spans="2:9" ht="15">
      <c r="B43" s="24" t="s">
        <v>121</v>
      </c>
      <c r="C43" s="9" t="s">
        <v>13</v>
      </c>
      <c r="D43" s="10">
        <v>6</v>
      </c>
      <c r="E43" s="11">
        <v>130</v>
      </c>
      <c r="F43" s="11">
        <f t="shared" si="0"/>
        <v>23.4</v>
      </c>
      <c r="G43" s="11">
        <f t="shared" si="1"/>
        <v>153.4</v>
      </c>
      <c r="H43" s="11">
        <f t="shared" si="2"/>
        <v>920.40000000000009</v>
      </c>
      <c r="I43" s="12"/>
    </row>
    <row r="44" spans="2:9" ht="15">
      <c r="B44" s="24" t="s">
        <v>139</v>
      </c>
      <c r="C44" s="9" t="s">
        <v>13</v>
      </c>
      <c r="D44" s="10">
        <v>18</v>
      </c>
      <c r="E44" s="11">
        <v>275</v>
      </c>
      <c r="F44" s="11">
        <f t="shared" si="0"/>
        <v>49.5</v>
      </c>
      <c r="G44" s="11">
        <f t="shared" si="1"/>
        <v>324.5</v>
      </c>
      <c r="H44" s="11">
        <f t="shared" si="2"/>
        <v>5841</v>
      </c>
      <c r="I44" s="12"/>
    </row>
    <row r="45" spans="2:9" ht="15">
      <c r="B45" s="24" t="s">
        <v>164</v>
      </c>
      <c r="C45" s="9" t="s">
        <v>163</v>
      </c>
      <c r="D45" s="10">
        <v>4</v>
      </c>
      <c r="E45" s="44">
        <v>1760</v>
      </c>
      <c r="F45" s="11">
        <f t="shared" si="0"/>
        <v>316.8</v>
      </c>
      <c r="G45" s="11">
        <f t="shared" si="1"/>
        <v>2076.8000000000002</v>
      </c>
      <c r="H45" s="11">
        <f t="shared" si="2"/>
        <v>8307.2000000000007</v>
      </c>
      <c r="I45" s="12"/>
    </row>
    <row r="46" spans="2:9" ht="15.75" thickBot="1">
      <c r="B46" s="70" t="s">
        <v>140</v>
      </c>
      <c r="C46" s="38" t="s">
        <v>13</v>
      </c>
      <c r="D46" s="39">
        <v>2</v>
      </c>
      <c r="E46" s="44">
        <v>250</v>
      </c>
      <c r="F46" s="44">
        <f t="shared" si="0"/>
        <v>45</v>
      </c>
      <c r="G46" s="44">
        <f t="shared" si="1"/>
        <v>295</v>
      </c>
      <c r="H46" s="44">
        <f t="shared" si="2"/>
        <v>590</v>
      </c>
      <c r="I46" s="12" t="s">
        <v>141</v>
      </c>
    </row>
    <row r="47" spans="2:9" ht="15.75" customHeight="1" thickBot="1">
      <c r="B47" s="71" t="s">
        <v>149</v>
      </c>
      <c r="C47" s="72"/>
      <c r="D47" s="72"/>
      <c r="E47" s="73"/>
      <c r="F47" s="73">
        <f>SUM(F8:F46)</f>
        <v>3894.5537999999997</v>
      </c>
      <c r="G47" s="73"/>
      <c r="H47" s="74">
        <f>SUM(H8:H46)</f>
        <v>274337.29140000005</v>
      </c>
      <c r="I47" s="1"/>
    </row>
    <row r="48" spans="2:9">
      <c r="B48" s="53"/>
    </row>
    <row r="50" spans="8:8">
      <c r="H50" s="68">
        <f>H47+Insumos!H27+Gastables!H79</f>
        <v>770363.22900000005</v>
      </c>
    </row>
  </sheetData>
  <mergeCells count="3">
    <mergeCell ref="B4:I4"/>
    <mergeCell ref="B5:I5"/>
    <mergeCell ref="B6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Relación mes de Mayo 2023</vt:lpstr>
      <vt:lpstr>Diferencia en cantidades</vt:lpstr>
      <vt:lpstr>Hoja3</vt:lpstr>
      <vt:lpstr>Hoja2</vt:lpstr>
      <vt:lpstr>Gastables</vt:lpstr>
      <vt:lpstr>Insumos</vt:lpstr>
      <vt:lpstr>Limpieza</vt:lpstr>
      <vt:lpstr>'Diferencia en cantidades'!Área_de_impresión</vt:lpstr>
      <vt:lpstr>'Relación mes de Mayo 2023'!Área_de_impresión</vt:lpstr>
      <vt:lpstr>'Diferencia en cantidades'!Títulos_a_imprimir</vt:lpstr>
      <vt:lpstr>'Relación mes de Mayo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Carrasco Acosta</dc:creator>
  <cp:lastModifiedBy>Tomas Carrasco Acosta</cp:lastModifiedBy>
  <cp:lastPrinted>2023-07-10T19:09:05Z</cp:lastPrinted>
  <dcterms:created xsi:type="dcterms:W3CDTF">2023-02-01T15:42:38Z</dcterms:created>
  <dcterms:modified xsi:type="dcterms:W3CDTF">2023-07-14T19:15:27Z</dcterms:modified>
</cp:coreProperties>
</file>